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28000" sheetId="6" state="visible" r:id="rId8"/>
    <sheet name="jgjg" sheetId="7" state="hidden" r:id="rId9"/>
    <sheet name="liste codes réf" sheetId="8" state="hidden" r:id="rId10"/>
  </sheets>
  <definedNames>
    <definedName function="false" hidden="false" localSheetId="5" name="_xlnm.Print_Area" vbProcedure="false">'05128000'!$A$1:$Q$82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'05128000'!$A$1:$Q$82</definedName>
    <definedName function="false" hidden="false" localSheetId="5" name="_xlnm__FilterDatabase" vbProcedure="false">'05128000'!$A$1:$C$1415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<sst xmlns="http://schemas.openxmlformats.org/spreadsheetml/2006/main" count="8838" uniqueCount="3498">
  <si>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</si>
  <si>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</si>
  <si>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</si>
  <si>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</si>
  <si>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</si>
  <si>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</si>
  <si>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</si>
  <si>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</si>
  <si>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</si>
  <si>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</si>
  <si>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</si>
  <si>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</si>
  <si>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</si>
  <si>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</si>
  <si>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</si>
  <si>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</si>
  <si>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</si>
  <si>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</si>
  <si>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</si>
  <si>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</si>
  <si>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</si>
  <si>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</si>
  <si>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</si>
  <si>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</si>
  <si>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</si>
  <si>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</si>
  <si>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</si>
  <si>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</si>
  <si>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</si>
  <si>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</si>
  <si>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</si>
  <si>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</si>
  <si>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</si>
  <si>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</si>
  <si>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</si>
  <si>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</si>
  <si>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</si>
  <si>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</si>
  <si>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</si>
  <si>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</si>
  <si>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</si>
  <si>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</si>
  <si>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</si>
  <si>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</si>
  <si>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</si>
  <si>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</si>
  <si>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</si>
  <si>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</si>
  <si>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</si>
  <si>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</si>
  <si>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</si>
  <si>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</si>
  <si>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</si>
  <si>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</si>
  <si>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</si>
  <si>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</si>
  <si>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</si>
  <si>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</si>
  <si>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</si>
  <si>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</si>
  <si>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</si>
  <si>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</si>
  <si>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</si>
  <si>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</si>
  <si>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</si>
  <si>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</si>
  <si>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</si>
  <si>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</si>
  <si>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</si>
  <si>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</si>
  <si>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</si>
  <si>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</si>
  <si>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</si>
  <si>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</si>
  <si>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</si>
  <si>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</si>
  <si>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</si>
  <si>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</si>
  <si>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</si>
  <si>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</si>
  <si>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</si>
  <si>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</si>
  <si>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</si>
  <si>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</si>
  <si>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</si>
  <si>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</si>
  <si>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</si>
  <si>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</si>
  <si>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</si>
  <si>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</si>
  <si>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</si>
  <si>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</si>
  <si>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</si>
  <si>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</si>
  <si>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</si>
  <si>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</si>
  <si>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</si>
  <si>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</si>
  <si>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</si>
  <si>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</si>
  <si>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</si>
  <si>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</si>
  <si>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</si>
  <si>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</si>
  <si>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</si>
  <si>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</si>
  <si>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</si>
  <si>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</si>
  <si>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</si>
  <si>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</si>
  <si>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</si>
  <si>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</si>
  <si>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</si>
  <si>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</si>
  <si>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</si>
  <si>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</si>
  <si>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</si>
  <si>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</si>
  <si>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</si>
  <si>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</si>
  <si>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</si>
  <si>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</si>
  <si>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</si>
  <si>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</si>
  <si>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</si>
  <si>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</si>
  <si>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</si>
  <si>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</si>
  <si>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</si>
  <si>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</si>
  <si>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</si>
  <si>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</si>
  <si>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</si>
  <si>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</si>
  <si>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</si>
  <si>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</si>
  <si>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</si>
  <si>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</si>
  <si>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</si>
  <si>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</si>
  <si>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</si>
  <si>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</si>
  <si>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</si>
  <si>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</si>
  <si>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</si>
  <si>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</si>
  <si>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</si>
  <si>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</si>
  <si>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</si>
  <si>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</si>
  <si>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</si>
  <si>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</si>
  <si>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</si>
  <si>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</si>
  <si>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</si>
  <si>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</si>
  <si>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</si>
  <si>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</si>
  <si>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</si>
  <si>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</si>
  <si>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</si>
  <si>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</si>
  <si>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</si>
  <si>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</si>
  <si>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</si>
  <si>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</si>
  <si>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</si>
  <si>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</si>
  <si>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</si>
  <si>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</si>
  <si>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</si>
  <si>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</si>
  <si>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</si>
  <si>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</si>
  <si>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</si>
  <si>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</si>
  <si>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</si>
  <si>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</si>
  <si>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</si>
  <si>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</si>
  <si>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</si>
  <si>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</si>
  <si>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</si>
  <si>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</si>
  <si>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</si>
  <si>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</si>
  <si>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</si>
  <si>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</si>
  <si>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</si>
  <si>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</si>
  <si>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</si>
  <si>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</si>
  <si>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</si>
  <si>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</si>
  <si>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</si>
  <si>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</si>
  <si>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</si>
  <si>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</si>
  <si>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</si>
  <si>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</si>
  <si>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</si>
  <si>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</si>
  <si>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</si>
  <si>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</si>
  <si>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</si>
  <si>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</si>
  <si>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</si>
  <si>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</si>
  <si>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</si>
  <si>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</si>
  <si>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</si>
  <si>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</si>
  <si>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</si>
  <si>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</si>
  <si>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</si>
  <si>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</si>
  <si>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</si>
  <si>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</si>
  <si>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</si>
  <si>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</si>
  <si>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</si>
  <si>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</si>
  <si>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</si>
  <si>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</si>
  <si>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</si>
  <si>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</si>
  <si>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</si>
  <si>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</si>
  <si>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</si>
  <si>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</si>
  <si>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</si>
  <si>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</si>
  <si>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</si>
  <si>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</si>
  <si>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</si>
  <si>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</si>
  <si>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</si>
  <si>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</si>
  <si>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</si>
  <si>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</si>
  <si>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</si>
  <si>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</si>
  <si>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</si>
  <si>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</si>
  <si>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</si>
  <si>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</si>
  <si>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</si>
  <si>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</si>
  <si>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</si>
  <si>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</si>
  <si>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</si>
  <si>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</si>
  <si>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</si>
  <si>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</si>
  <si>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</si>
  <si>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</si>
  <si>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</si>
  <si>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</si>
  <si>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</si>
  <si>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</si>
  <si>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</si>
  <si>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</si>
  <si>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</si>
  <si>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</si>
  <si>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</si>
  <si>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</si>
  <si>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</si>
  <si>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</si>
  <si>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</si>
  <si>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</si>
  <si>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</si>
  <si>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</si>
  <si>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</si>
  <si>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</si>
  <si>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</si>
  <si>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</si>
  <si>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</si>
  <si>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</si>
  <si>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</si>
  <si>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</si>
  <si>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</si>
  <si>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</si>
  <si>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</si>
  <si>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</si>
  <si>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</si>
  <si>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</si>
  <si>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</si>
  <si>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</si>
  <si>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</si>
  <si>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</si>
  <si>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</si>
  <si>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</si>
  <si>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</si>
  <si>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</si>
  <si>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</si>
  <si>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</si>
  <si>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</si>
  <si>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</si>
  <si>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</si>
  <si>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</si>
  <si>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</si>
  <si>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</si>
  <si>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</si>
  <si>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</si>
  <si>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</si>
  <si>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</si>
  <si>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</si>
  <si>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</si>
  <si>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</si>
  <si>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</si>
  <si>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</si>
  <si>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</si>
  <si>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</si>
  <si>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</si>
  <si>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</si>
  <si>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</si>
  <si>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</si>
  <si>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</si>
  <si>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</si>
  <si>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</si>
  <si>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</si>
  <si>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</si>
  <si>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</si>
  <si>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</si>
  <si>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</si>
  <si>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</si>
  <si>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</si>
  <si>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</si>
  <si>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</si>
  <si>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</si>
  <si>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</si>
  <si>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</si>
  <si>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</si>
  <si>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</si>
  <si>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</si>
  <si>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</si>
  <si>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</si>
  <si>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</si>
  <si>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</si>
  <si>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</si>
  <si>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</si>
  <si>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</si>
  <si>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</si>
  <si>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</si>
  <si>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</si>
  <si>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</si>
  <si>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</si>
  <si>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</si>
  <si>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</si>
  <si>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</si>
  <si>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</si>
  <si>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</si>
  <si>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</si>
  <si>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</si>
  <si>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</si>
  <si>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</si>
  <si>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</si>
  <si>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</si>
  <si>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</si>
  <si>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</si>
  <si>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</si>
  <si>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</si>
  <si>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</si>
  <si>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</si>
  <si>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</si>
  <si>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</si>
  <si>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</si>
  <si>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</si>
  <si>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</si>
  <si>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</si>
  <si>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</si>
  <si>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</si>
  <si>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</si>
  <si>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</si>
  <si>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</si>
  <si>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</si>
  <si>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</si>
  <si>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</si>
  <si>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</si>
  <si>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</si>
  <si>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</si>
  <si>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</si>
  <si>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</si>
  <si>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</si>
  <si>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</si>
  <si>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</si>
  <si>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</si>
  <si>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</si>
  <si>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</si>
  <si>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</si>
  <si>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</si>
  <si>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</si>
  <si>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</si>
  <si>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</si>
  <si>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</si>
  <si>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</si>
  <si>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</si>
  <si>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</si>
  <si>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</si>
  <si>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</si>
  <si>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</si>
  <si>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</si>
  <si>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</si>
  <si>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</si>
  <si>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</si>
  <si>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</si>
  <si>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</si>
  <si>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</si>
  <si>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</si>
  <si>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</si>
  <si>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</si>
  <si>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</si>
  <si>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</si>
  <si>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</si>
  <si>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</si>
  <si>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</si>
  <si>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</si>
  <si>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</si>
  <si>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</si>
  <si>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</si>
  <si>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</si>
  <si>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</si>
  <si>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</si>
  <si>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</si>
  <si>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</si>
  <si>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</si>
  <si>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</si>
  <si>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</si>
  <si>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</si>
  <si>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</si>
  <si>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</si>
  <si>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</si>
  <si>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</si>
  <si>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</si>
  <si>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</si>
  <si>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</si>
  <si>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</si>
  <si>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</si>
  <si>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</si>
  <si>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</si>
  <si>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</si>
  <si>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</si>
  <si>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</si>
  <si>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</si>
  <si>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</si>
  <si>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</si>
  <si>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</si>
  <si>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</si>
  <si>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</si>
  <si>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</si>
  <si>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</si>
  <si>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</si>
  <si>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</si>
  <si>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</si>
  <si>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</si>
  <si>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</si>
  <si>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</si>
  <si>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</si>
  <si>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</si>
  <si>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</si>
  <si>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</si>
  <si>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</si>
  <si>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</si>
  <si>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</si>
  <si>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</si>
  <si>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</si>
  <si>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</si>
  <si>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</si>
  <si>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</si>
  <si>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</si>
  <si>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</si>
  <si>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</si>
  <si>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</si>
  <si>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</si>
  <si>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</si>
  <si>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</si>
  <si>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</si>
  <si>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</si>
  <si>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</si>
  <si>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</si>
  <si>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</si>
  <si>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</si>
  <si>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</si>
  <si>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</si>
  <si>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</si>
  <si>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</si>
  <si>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</si>
  <si>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</si>
  <si>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</si>
  <si>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</si>
  <si>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</si>
  <si>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</si>
  <si>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</si>
  <si>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</si>
  <si>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</si>
  <si>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</si>
  <si>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</si>
  <si>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</si>
  <si>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</si>
  <si>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</si>
  <si>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</si>
  <si>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</si>
  <si>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</si>
  <si>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</si>
  <si>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</si>
  <si>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</si>
  <si>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</si>
  <si>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</si>
  <si>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</si>
  <si>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</si>
  <si>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</si>
  <si>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</si>
  <si>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</si>
  <si>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</si>
  <si>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</si>
  <si>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</si>
  <si>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</si>
  <si>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</si>
  <si>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</si>
  <si>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</si>
  <si>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</si>
  <si>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</si>
  <si>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</si>
  <si>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</si>
  <si>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</si>
  <si>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</si>
  <si>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</si>
  <si>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</si>
  <si>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</si>
  <si>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</si>
  <si>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</si>
  <si>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</si>
  <si>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</si>
  <si>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</si>
  <si>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</si>
  <si>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</si>
  <si>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</si>
  <si>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</si>
  <si>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</si>
  <si>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</si>
  <si>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</si>
  <si>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</si>
  <si>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</si>
  <si>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</si>
  <si>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</si>
  <si>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</si>
  <si>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</si>
  <si>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</si>
  <si>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</si>
  <si>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</si>
  <si>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</si>
  <si>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</si>
  <si>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</si>
  <si>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</si>
  <si>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</si>
  <si>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</si>
  <si>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</si>
  <si>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</si>
  <si>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</si>
  <si>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</si>
  <si>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</si>
  <si>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</si>
  <si>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</si>
  <si>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</si>
  <si>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</si>
  <si>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</si>
  <si>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</si>
  <si>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</si>
  <si>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</si>
  <si>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</si>
  <si>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</si>
  <si>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</si>
  <si>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</si>
  <si>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</si>
  <si>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</si>
  <si>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</si>
  <si>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</si>
  <si>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</si>
  <si>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</si>
  <si>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</si>
  <si>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</si>
  <si>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</si>
  <si>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</si>
  <si>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</si>
  <si>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</si>
  <si>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</si>
  <si>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</si>
  <si>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</si>
  <si>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</si>
  <si>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</si>
  <si>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</si>
  <si>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</si>
  <si>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</si>
  <si>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</si>
  <si>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</si>
  <si>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</si>
  <si>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</si>
  <si>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</si>
  <si>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</si>
  <si>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</si>
  <si>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</si>
  <si>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</si>
  <si>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</si>
  <si>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</si>
  <si>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</si>
  <si>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</si>
  <si>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</si>
  <si>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</si>
  <si>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</si>
  <si>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</si>
  <si>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</si>
  <si>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</si>
  <si>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</si>
  <si>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</si>
  <si>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</si>
  <si>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</si>
  <si>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</si>
  <si>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</si>
  <si>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</si>
  <si>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</si>
  <si>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</si>
  <si>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</si>
  <si>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</si>
  <si>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</si>
  <si>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</si>
  <si>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</si>
  <si>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</si>
  <si>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</si>
  <si>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</si>
  <si>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</si>
  <si>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</si>
  <si>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</si>
  <si>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</si>
  <si>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</si>
  <si>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</si>
  <si>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</si>
  <si>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</si>
  <si>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</si>
  <si>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</si>
  <si>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</si>
  <si>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</si>
  <si>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</si>
  <si>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</si>
  <si>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</si>
  <si>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</si>
  <si>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</si>
  <si>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</si>
  <si>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</si>
  <si>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</si>
  <si>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</si>
  <si>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</si>
  <si>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</si>
  <si>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</si>
  <si>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</si>
  <si>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</si>
  <si>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</si>
  <si>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</si>
  <si>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</si>
  <si>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</si>
  <si>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</si>
  <si>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</si>
  <si>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</si>
  <si>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</si>
  <si>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</si>
  <si>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</si>
  <si>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</si>
  <si>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</si>
  <si>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</si>
  <si>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</si>
  <si>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</si>
  <si>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</si>
  <si>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</si>
  <si>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</si>
  <si>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</si>
  <si>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</si>
  <si>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</si>
  <si>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</si>
  <si>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</si>
  <si>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</si>
  <si>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</si>
  <si>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</si>
  <si>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</si>
  <si>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</si>
  <si>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</si>
  <si>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</si>
  <si>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</si>
  <si>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</si>
  <si>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</si>
  <si>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</si>
  <si>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</si>
  <si>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</si>
  <si>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</si>
  <si>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</si>
  <si>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</si>
  <si>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</si>
  <si>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</si>
  <si>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</si>
  <si>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</si>
  <si>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</si>
  <si>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</si>
  <si>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</si>
  <si>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</si>
  <si>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</si>
  <si>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</si>
  <si>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</si>
  <si>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</si>
  <si>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</si>
  <si>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</si>
  <si>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</si>
  <si>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</si>
  <si>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</si>
  <si>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</si>
  <si>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</si>
  <si>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</si>
  <si>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</si>
  <si>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</si>
  <si>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</si>
  <si>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</si>
  <si>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</si>
  <si>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</si>
  <si>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</si>
  <si>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</si>
  <si>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</si>
  <si>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</si>
  <si>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</si>
  <si>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</si>
  <si>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</si>
  <si>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</si>
  <si>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</si>
  <si>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</si>
  <si>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</si>
  <si>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</si>
  <si>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</si>
  <si>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</si>
  <si>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</si>
  <si>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</si>
  <si>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</si>
  <si>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</si>
  <si>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</si>
  <si>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</si>
  <si>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</si>
  <si>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</si>
  <si>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</si>
  <si>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</si>
  <si>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</si>
  <si>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</si>
  <si>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</si>
  <si>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</si>
  <si>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</si>
  <si>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</si>
  <si>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</si>
  <si>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</si>
  <si>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</si>
  <si>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</si>
  <si>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</si>
  <si>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</si>
  <si>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</si>
  <si>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</si>
  <si>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</si>
  <si>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</si>
  <si>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</si>
  <si>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</si>
  <si>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</si>
  <si>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</si>
  <si>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</si>
  <si>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</si>
  <si>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</si>
  <si>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</si>
  <si>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</si>
  <si>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</si>
  <si>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</si>
  <si>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</si>
  <si>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</si>
  <si>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</si>
  <si>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</si>
  <si>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</si>
  <si>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</si>
  <si>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</si>
  <si>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</si>
  <si>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</si>
  <si>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</si>
  <si>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</si>
  <si>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</si>
  <si>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</si>
  <si>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</si>
  <si>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</si>
  <si>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</si>
  <si>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</si>
  <si>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</si>
  <si>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</si>
  <si>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</si>
  <si>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</si>
  <si>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</si>
  <si>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</si>
  <si>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</si>
  <si>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</si>
  <si>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</si>
  <si>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</si>
  <si>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</si>
  <si>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</si>
  <si>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</si>
  <si>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</si>
  <si>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</si>
  <si>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</si>
  <si>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</si>
  <si>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</si>
  <si>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</si>
  <si>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</si>
  <si>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</si>
  <si>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</si>
  <si>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</si>
  <si>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</si>
  <si>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</si>
  <si>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</si>
  <si>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</si>
  <si>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</si>
  <si>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</si>
  <si>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</si>
  <si>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</si>
  <si>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</si>
  <si>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</si>
  <si>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</si>
  <si>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</si>
  <si>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</si>
  <si>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</si>
  <si>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</si>
  <si>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</si>
  <si>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</si>
  <si>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</si>
  <si>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</si>
  <si>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</si>
  <si>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</si>
  <si>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</si>
  <si>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</si>
  <si>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</si>
  <si>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</si>
  <si>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</si>
  <si>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</si>
  <si>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</si>
  <si>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</si>
  <si>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</si>
  <si>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</si>
  <si>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</si>
  <si>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</si>
  <si>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</si>
  <si>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</si>
  <si>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</si>
  <si>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</si>
  <si>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</si>
  <si>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</si>
  <si>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</si>
  <si>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</si>
  <si>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</si>
  <si>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</si>
  <si>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</si>
  <si>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</si>
  <si>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</si>
  <si>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</si>
  <si>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</si>
  <si>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</si>
  <si>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</si>
  <si>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</si>
  <si>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</si>
  <si>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</si>
  <si>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</si>
  <si>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</si>
  <si>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</si>
  <si>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</si>
  <si>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</si>
  <si>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</si>
  <si>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</si>
  <si>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</si>
  <si>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</si>
  <si>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</si>
  <si>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</si>
  <si>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</si>
  <si>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</si>
  <si>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</si>
  <si>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</si>
  <si>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</si>
  <si>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</si>
  <si>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</si>
  <si>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</si>
  <si>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</si>
  <si>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</si>
  <si>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</si>
  <si>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</si>
  <si>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</si>
  <si>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</si>
  <si>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</si>
  <si>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</si>
  <si>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</si>
  <si>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</si>
  <si>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</si>
  <si>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</si>
  <si>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</si>
  <si>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</si>
  <si>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</si>
  <si>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</si>
  <si>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</si>
  <si>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</si>
  <si>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</si>
  <si>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</si>
  <si>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</si>
  <si>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</si>
  <si>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</si>
  <si>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</si>
  <si>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</si>
  <si>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</si>
  <si>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</si>
  <si>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</si>
  <si>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</si>
  <si>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</si>
  <si>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</si>
  <si>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</si>
  <si>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</si>
  <si>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</si>
  <si>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</si>
  <si>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</si>
  <si>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</si>
  <si>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</si>
  <si>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</si>
  <si>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</si>
  <si>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</si>
  <si>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</si>
  <si>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</si>
  <si>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</si>
  <si>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</si>
  <si>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</si>
  <si>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</si>
  <si>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</si>
  <si>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</si>
  <si>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</si>
  <si>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</si>
  <si>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</si>
  <si>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</si>
  <si>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</si>
  <si>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</si>
  <si>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</si>
  <si>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</si>
  <si>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</si>
  <si>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</si>
  <si>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</si>
  <si>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</si>
  <si>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</si>
  <si>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</si>
  <si>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</si>
  <si>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</si>
  <si>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</si>
  <si>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</si>
  <si>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</si>
  <si>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</si>
  <si>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</si>
  <si>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</si>
  <si>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</si>
  <si>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</si>
  <si>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</si>
  <si>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</si>
  <si>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</si>
  <si>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</si>
  <si>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</si>
  <si>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</si>
  <si>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</si>
  <si>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</si>
  <si>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</si>
  <si>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</si>
  <si>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</si>
  <si>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</si>
  <si>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</si>
  <si>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</si>
  <si>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</si>
  <si>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</si>
  <si>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</si>
  <si>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</si>
  <si>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</si>
  <si>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</si>
  <si>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</si>
  <si>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</si>
  <si>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</si>
  <si>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</si>
  <si>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</si>
  <si>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</si>
  <si>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</si>
  <si>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</si>
  <si>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</si>
  <si>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</si>
  <si>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</si>
  <si>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</si>
  <si>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</si>
  <si>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</si>
  <si>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</si>
  <si>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</si>
  <si>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</si>
  <si>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</si>
  <si>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</si>
  <si>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</si>
  <si>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</si>
  <si>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</si>
  <si>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</si>
  <si>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</si>
  <si>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</si>
  <si>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</si>
  <si>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</si>
  <si>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</si>
  <si>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</si>
  <si>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</si>
  <si>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</si>
  <si>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</si>
  <si>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</si>
  <si>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</si>
  <si>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</si>
  <si>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</si>
  <si>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</si>
  <si>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</si>
  <si>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</si>
  <si>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</si>
  <si>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</si>
  <si>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</si>
  <si>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</si>
  <si>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</si>
  <si>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</si>
  <si>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</si>
  <si>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</si>
  <si>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</si>
  <si>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</si>
  <si>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</si>
  <si>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</si>
  <si>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</si>
  <si>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</si>
  <si>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</si>
  <si>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</si>
  <si>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</si>
  <si>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</si>
  <si>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</si>
  <si>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</si>
  <si>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</si>
  <si>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</si>
  <si>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</si>
  <si>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</si>
  <si>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</si>
  <si>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</si>
  <si>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</si>
  <si>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</si>
  <si>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</si>
  <si>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</si>
  <si>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</si>
  <si>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</si>
  <si>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</si>
  <si>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</si>
  <si>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</si>
  <si>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</si>
  <si>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</si>
  <si>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</si>
  <si>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</si>
  <si>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</si>
  <si>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</si>
  <si>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</si>
  <si>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</si>
  <si>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</si>
  <si>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</si>
  <si>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</si>
  <si>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</si>
  <si>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</si>
  <si>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</si>
  <si>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</si>
  <si>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</si>
  <si>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</si>
  <si>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</si>
  <si>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</si>
  <si>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</si>
  <si>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</si>
  <si>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</si>
  <si>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</si>
  <si>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</si>
  <si>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</si>
  <si>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</si>
  <si>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</si>
  <si>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</si>
  <si>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</si>
  <si>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</si>
  <si>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</si>
  <si>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</si>
  <si>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</si>
  <si>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</si>
  <si>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</si>
  <si>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</si>
  <si>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</si>
  <si>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</si>
  <si>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</si>
  <si>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</si>
  <si>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</si>
  <si>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</si>
  <si>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</si>
  <si>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</si>
  <si>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</si>
  <si>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</si>
  <si>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</si>
  <si>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</si>
  <si>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</si>
  <si>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</si>
  <si>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</si>
  <si>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</si>
  <si>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</si>
  <si>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</si>
  <si>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</si>
  <si>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</si>
  <si>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</si>
  <si>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</si>
  <si>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</si>
  <si>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</si>
  <si>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</si>
  <si>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</si>
  <si>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</si>
  <si>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</si>
  <si>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</si>
  <si>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</si>
  <si>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</si>
  <si>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</si>
  <si>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</si>
  <si>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</si>
  <si>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</si>
  <si>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</si>
  <si>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</si>
  <si>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</si>
  <si>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</si>
  <si>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</si>
  <si>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</si>
  <si>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</si>
  <si>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</si>
  <si>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</si>
  <si>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</si>
  <si>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</si>
  <si>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</si>
  <si>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</si>
  <si>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</si>
  <si>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</si>
  <si>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</si>
  <si>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</si>
  <si>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</si>
  <si>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</si>
  <si>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</si>
  <si>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</si>
  <si>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</si>
  <si>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</si>
  <si>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</si>
  <si>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</si>
  <si>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</si>
  <si>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</si>
  <si>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</si>
  <si>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</si>
  <si>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</si>
  <si>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</si>
  <si>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</si>
  <si>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</si>
  <si>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</si>
  <si>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</si>
  <si>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</si>
  <si>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</si>
  <si>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</si>
  <si>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</si>
  <si>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</si>
  <si>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</si>
  <si>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</si>
  <si>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</si>
  <si>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</si>
  <si>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</si>
  <si>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</si>
  <si>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</si>
  <si>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</si>
  <si>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</si>
  <si>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</si>
  <si>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</si>
  <si>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</si>
  <si>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</si>
  <si>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</si>
  <si>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</si>
  <si>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</si>
  <si>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</si>
  <si>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</si>
  <si>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</si>
  <si>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</si>
  <si>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</si>
  <si>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</si>
  <si>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</si>
  <si>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</si>
  <si>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</si>
  <si>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</si>
  <si>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</si>
  <si>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</si>
  <si>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</si>
  <si>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</si>
  <si>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</si>
  <si>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</si>
  <si>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</si>
  <si>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</si>
  <si>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</si>
  <si>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</si>
  <si>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</si>
  <si>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</si>
  <si>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</si>
  <si>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</si>
  <si>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</si>
  <si>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</si>
  <si>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</si>
  <si>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</si>
  <si>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</si>
  <si>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</si>
  <si>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</si>
  <si>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</si>
  <si>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</si>
  <si>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</si>
  <si>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</si>
  <si>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</si>
  <si>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</si>
  <si>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</si>
  <si>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</si>
  <si>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</si>
  <si>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</si>
  <si>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</si>
  <si>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</si>
  <si>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</si>
  <si>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</si>
  <si>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</si>
  <si>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</si>
  <si>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</si>
  <si>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</si>
  <si>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</si>
  <si>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</si>
  <si>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</si>
  <si>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</si>
  <si>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</si>
  <si>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</si>
  <si>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</si>
  <si>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</si>
  <si>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</si>
  <si>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</si>
  <si>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</si>
  <si>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</si>
  <si>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</si>
  <si>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</si>
  <si>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</si>
  <si>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</si>
  <si>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</si>
  <si>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</si>
  <si>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</si>
  <si>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</si>
  <si>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</si>
  <si>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</si>
  <si>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</si>
  <si>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</si>
  <si>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</si>
  <si>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</si>
  <si>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</si>
  <si>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</si>
  <si>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</si>
  <si>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</si>
  <si>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</si>
  <si>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</si>
  <si>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</si>
  <si>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</si>
  <si>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</si>
  <si>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</si>
  <si>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</si>
  <si>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</si>
  <si>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</si>
  <si>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</si>
  <si>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</si>
  <si>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</si>
  <si>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</si>
  <si>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</si>
  <si>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</si>
  <si>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</si>
  <si>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</si>
  <si>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</si>
  <si>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</si>
  <si>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</si>
  <si>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</si>
  <si>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</si>
  <si>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</si>
  <si>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</si>
  <si>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</si>
  <si>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</si>
  <si>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</si>
  <si>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</si>
  <si>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</si>
  <si>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</si>
  <si>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</si>
  <si>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</si>
  <si>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</si>
  <si>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</si>
  <si>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</si>
  <si>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</si>
  <si>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</si>
  <si>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</si>
  <si>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</si>
  <si>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</si>
  <si>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</si>
  <si>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</si>
  <si>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</si>
  <si>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</si>
  <si>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</si>
  <si>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</si>
  <si>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</si>
  <si>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</si>
  <si>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</si>
  <si>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</si>
  <si>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</si>
  <si>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</si>
  <si>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</si>
  <si>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</si>
  <si>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</si>
  <si>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</si>
  <si>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</si>
  <si>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</si>
  <si>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</si>
  <si>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</si>
  <si>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</si>
  <si>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</si>
  <si>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</si>
  <si>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</si>
  <si>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</si>
  <si>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</si>
  <si>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</si>
  <si>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</si>
  <si>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</si>
  <si>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</si>
  <si>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</si>
  <si>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</si>
  <si>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</si>
  <si>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</si>
  <si>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</si>
  <si>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</si>
  <si>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</si>
  <si>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</si>
  <si>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</si>
  <si>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</si>
  <si>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</si>
  <si>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</si>
  <si>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</si>
  <si>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</si>
  <si>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</si>
  <si>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</si>
  <si>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</si>
  <si>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</si>
  <si>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</si>
  <si>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</si>
  <si>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</si>
  <si>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</si>
  <si>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</si>
  <si>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</si>
  <si>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</si>
  <si>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</si>
  <si>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</si>
  <si>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</si>
  <si>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</si>
  <si>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</si>
  <si>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</si>
  <si>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</si>
  <si>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</si>
  <si>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</si>
  <si>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</si>
  <si>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</si>
  <si>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</si>
  <si>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</si>
  <si>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</si>
  <si>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</si>
  <si>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</si>
  <si>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</si>
  <si>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</si>
  <si>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</si>
  <si>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</si>
  <si>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</si>
  <si>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</si>
  <si>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</si>
  <si>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</si>
  <si>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</si>
  <si>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</si>
  <si>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</si>
  <si>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</si>
  <si>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</si>
  <si>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</si>
  <si>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</si>
  <si>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</si>
  <si>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</si>
  <si>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</si>
  <si>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</si>
  <si>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</si>
  <si>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</si>
  <si>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</si>
  <si>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</si>
  <si>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</si>
  <si>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</si>
  <si>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</si>
  <si>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</si>
  <si>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</si>
  <si>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</si>
  <si>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</si>
  <si>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</si>
  <si>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</si>
  <si>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</si>
  <si>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</si>
  <si>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</si>
  <si>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</si>
  <si>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</si>
  <si>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</si>
  <si>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</si>
  <si>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</si>
  <si>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</si>
  <si>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</si>
  <si>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</si>
  <si>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</si>
  <si>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</si>
  <si>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</si>
  <si>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</si>
  <si>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</si>
  <si>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</si>
  <si>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</si>
  <si>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</si>
  <si>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</si>
  <si>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</si>
  <si>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</si>
  <si>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</si>
  <si>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</si>
  <si>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</si>
  <si>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</si>
  <si>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</si>
  <si>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</si>
  <si>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</si>
  <si>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</si>
  <si>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</si>
  <si>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</si>
  <si>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</si>
  <si>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</si>
  <si>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</si>
  <si>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</si>
  <si>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</si>
  <si>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</si>
  <si>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</si>
  <si>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</si>
  <si>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</si>
  <si>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</si>
  <si>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</si>
  <si>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</si>
  <si>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</si>
  <si>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</si>
  <si>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</si>
  <si>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</si>
  <si>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</si>
  <si>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</si>
  <si>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</si>
  <si>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</si>
  <si>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</si>
  <si>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</si>
  <si>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</si>
  <si>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</si>
  <si>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</si>
  <si>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</si>
  <si>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</si>
  <si>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</si>
  <si>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</si>
  <si>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</si>
  <si>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</si>
  <si>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</si>
  <si>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</si>
  <si>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</si>
  <si>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</si>
  <si>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</si>
  <si>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</si>
  <si>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</si>
  <si>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</si>
  <si>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</si>
  <si>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</si>
  <si>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</si>
  <si>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</si>
  <si>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</si>
  <si>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</si>
  <si>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</si>
  <si>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</si>
  <si>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</si>
  <si>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</si>
  <si>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</si>
  <si>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</si>
  <si>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</si>
  <si>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</si>
  <si>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</si>
  <si>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</si>
  <si>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</si>
  <si>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</si>
  <si>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</si>
  <si>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</si>
  <si>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</si>
  <si>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</si>
  <si>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</si>
  <si>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</si>
  <si>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</si>
  <si>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</si>
  <si>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</si>
  <si>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</si>
  <si>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</si>
  <si>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</si>
  <si>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</si>
  <si>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</si>
  <si>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</si>
  <si>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</si>
  <si>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</si>
  <si>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</si>
  <si>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</si>
  <si>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</si>
  <si>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</si>
  <si>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</si>
  <si>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</si>
  <si>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</si>
  <si>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</si>
  <si>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</si>
  <si>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</si>
  <si>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</si>
  <si>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</si>
  <si>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</si>
  <si>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</si>
  <si>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</si>
  <si>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</si>
  <si>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</si>
  <si>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</si>
  <si>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</si>
  <si>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</si>
  <si>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</si>
  <si>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</si>
  <si>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</si>
  <si>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</si>
  <si>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</si>
  <si>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</si>
  <si>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</si>
  <si>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</si>
  <si>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</si>
  <si>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</si>
  <si>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</si>
  <si>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</si>
  <si>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</si>
  <si>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</si>
  <si>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</si>
  <si>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</si>
  <si>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</si>
  <si>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</si>
  <si>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</si>
  <si>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</si>
  <si>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</si>
  <si>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</si>
  <si>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</si>
  <si>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</si>
  <si>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</si>
  <si>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</si>
  <si>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</si>
  <si>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</si>
  <si>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</si>
  <si>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</si>
  <si>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</si>
  <si>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</si>
  <si>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</si>
  <si>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</si>
  <si>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</si>
  <si>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</si>
  <si>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</si>
  <si>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</si>
  <si>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</si>
  <si>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</si>
  <si>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</si>
  <si>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</si>
  <si>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</si>
  <si>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</si>
  <si>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</si>
  <si>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</si>
  <si>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</si>
  <si>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</si>
  <si>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</si>
  <si>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</si>
  <si>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</si>
  <si>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</si>
  <si>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</si>
  <si>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</si>
  <si>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</si>
  <si>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</si>
  <si>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</si>
  <si>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</si>
  <si>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</si>
  <si>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</si>
  <si>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</si>
  <si>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</si>
  <si>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</si>
  <si>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</si>
  <si>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</si>
  <si>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</si>
  <si>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</si>
  <si>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</si>
  <si>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</si>
  <si>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</si>
  <si>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</si>
  <si>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</si>
  <si>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</si>
  <si>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</si>
  <si>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</si>
  <si>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</si>
  <si>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</si>
  <si>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</si>
  <si>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</si>
  <si>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</si>
  <si>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</si>
  <si>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</si>
  <si>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</si>
  <si>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</si>
  <si>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</si>
  <si>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</si>
  <si>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</si>
  <si>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</si>
  <si>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</si>
  <si>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</si>
  <si>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</si>
  <si>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</si>
  <si>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</si>
  <si>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</si>
  <si>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</si>
  <si>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</si>
  <si>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</si>
  <si>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</si>
  <si>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</si>
  <si>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</si>
  <si>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</si>
  <si>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</si>
  <si>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</si>
  <si>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</si>
  <si>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</si>
  <si>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</si>
  <si>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</si>
  <si>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</si>
  <si>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</si>
  <si>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</si>
  <si>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</si>
  <si>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</si>
  <si>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</si>
  <si>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</si>
  <si>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</si>
  <si>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</si>
  <si>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</si>
  <si>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</si>
  <si>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</si>
  <si>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</si>
  <si>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</si>
  <si>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</si>
  <si>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</si>
  <si>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</si>
  <si>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</si>
  <si>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</si>
  <si>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</si>
  <si>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</si>
  <si>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</si>
  <si>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</si>
  <si>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</si>
  <si>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</si>
  <si>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</si>
  <si>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</si>
  <si>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</si>
  <si>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</si>
  <si>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</si>
  <si>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</si>
  <si>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</si>
  <si>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</si>
  <si>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</si>
  <si>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</si>
  <si>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</si>
  <si>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</si>
  <si>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</si>
  <si>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</si>
  <si>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</si>
  <si>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</si>
  <si>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</si>
  <si>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</si>
  <si>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</si>
  <si>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</si>
  <si>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</si>
  <si>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</si>
  <si>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</si>
  <si>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</si>
  <si>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</si>
  <si>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</si>
  <si>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</si>
  <si>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</si>
  <si>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</si>
  <si>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</si>
  <si>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</si>
  <si>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</si>
  <si>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</si>
  <si>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</si>
  <si>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</si>
  <si>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</si>
  <si>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</si>
  <si>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</si>
  <si>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</si>
  <si>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</si>
  <si>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</si>
  <si>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</si>
  <si>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</si>
  <si>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</si>
  <si>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</si>
  <si>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</si>
  <si>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</si>
  <si>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</si>
  <si>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</si>
  <si>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</si>
  <si>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</si>
  <si>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</si>
  <si>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</si>
  <si>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</si>
  <si>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</si>
  <si>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</si>
  <si>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</si>
  <si>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</si>
  <si>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</si>
  <si>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</si>
  <si>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</si>
  <si>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</si>
  <si>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</si>
  <si>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</si>
  <si>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</si>
  <si>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</si>
  <si>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</si>
  <si>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</si>
  <si>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</si>
  <si>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</si>
  <si>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</si>
  <si>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</si>
  <si>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</si>
  <si>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</si>
  <si>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</si>
  <si>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</si>
  <si>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</si>
  <si>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</si>
  <si>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</si>
  <si>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</si>
  <si>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</si>
  <si>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</si>
  <si>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</si>
  <si>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</si>
  <si>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</si>
  <si>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</si>
  <si>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</si>
  <si>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</si>
  <si>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</si>
  <si>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</si>
  <si>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</si>
  <si>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</si>
  <si>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</si>
  <si>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</si>
  <si>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</si>
  <si>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</si>
  <si>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</si>
  <si>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</si>
  <si>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</si>
  <si>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</si>
  <si>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</si>
  <si>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</si>
  <si>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</si>
  <si>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</si>
  <si>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</si>
  <si>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</si>
  <si>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</si>
  <si>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</si>
  <si>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</si>
  <si>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</si>
  <si>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</si>
  <si>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</si>
  <si>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</si>
  <si>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</si>
  <si>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</si>
  <si>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</si>
  <si>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</si>
  <si>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</si>
  <si>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</si>
  <si>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</si>
  <si>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</si>
  <si>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</si>
  <si>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</si>
  <si>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</si>
  <si>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</si>
  <si>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</si>
  <si>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</si>
  <si>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</si>
  <si>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</si>
  <si>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</si>
  <si>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</si>
  <si>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</si>
  <si>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</si>
  <si>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</si>
  <si>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</si>
  <si>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</si>
  <si>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</si>
  <si>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</si>
  <si>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</si>
  <si>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</si>
  <si>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</si>
  <si>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</si>
  <si>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</si>
  <si>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</si>
  <si>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</si>
  <si>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</si>
  <si>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</si>
  <si>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</si>
  <si>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</si>
  <si>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</si>
  <si>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</si>
  <si>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</si>
  <si>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</si>
  <si>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</si>
  <si>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</si>
  <si>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</si>
  <si>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</si>
  <si>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</si>
  <si>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</si>
  <si>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</si>
  <si>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</si>
  <si>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</si>
  <si>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</si>
  <si>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</si>
  <si>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</si>
  <si>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</si>
  <si>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</si>
  <si>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</si>
  <si>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</si>
  <si>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</si>
  <si>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</si>
  <si>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</si>
  <si>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</si>
  <si>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</si>
  <si>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</si>
  <si>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</si>
  <si>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</si>
  <si>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</si>
  <si>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</si>
  <si>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</si>
  <si>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</si>
  <si>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</si>
  <si>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</si>
  <si>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</si>
  <si>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</si>
  <si>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</si>
  <si>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</si>
  <si>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</si>
  <si>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</si>
  <si>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</si>
  <si>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</si>
  <si>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</si>
  <si>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</si>
  <si>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</si>
  <si>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</si>
  <si>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</si>
  <si>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</si>
  <si>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</si>
  <si>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</si>
  <si>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</si>
  <si>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</si>
  <si>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</si>
  <si>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</si>
  <si>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</si>
  <si>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</si>
  <si>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</si>
  <si>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</si>
  <si>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</si>
  <si>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</si>
  <si>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</si>
  <si>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</si>
  <si>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</si>
  <si>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</si>
  <si>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</si>
  <si>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</si>
  <si>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</si>
  <si>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</si>
  <si>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</si>
  <si>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</si>
  <si>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</si>
  <si>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</si>
  <si>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</si>
  <si>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</si>
  <si>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</si>
  <si>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</si>
  <si>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</si>
  <si>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</si>
  <si>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</si>
  <si>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</si>
  <si>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</si>
  <si>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</si>
  <si>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</si>
  <si>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</si>
  <si>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</si>
  <si>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</si>
  <si>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</si>
  <si>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</si>
  <si>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</si>
  <si>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</si>
  <si>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</si>
  <si>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</si>
  <si>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</si>
  <si>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</si>
  <si>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</si>
  <si>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</si>
  <si>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</si>
  <si>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</si>
  <si>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</si>
  <si>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</si>
  <si>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</si>
  <si>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</si>
  <si>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</si>
  <si>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</si>
  <si>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</si>
  <si>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</si>
  <si>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</si>
  <si>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</si>
  <si>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</si>
  <si>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</si>
  <si>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</si>
  <si>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</si>
  <si>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</si>
  <si>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</si>
  <si>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</si>
  <si>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</si>
  <si>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</si>
  <si>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</si>
  <si>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</si>
  <si>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</si>
  <si>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</si>
  <si>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</si>
  <si>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</si>
  <si>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</si>
  <si>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</si>
  <si>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</si>
  <si>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</si>
  <si>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</si>
  <si>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</si>
  <si>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</si>
  <si>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</si>
  <si>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</si>
  <si>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</si>
  <si>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</si>
  <si>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</si>
  <si>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</si>
  <si>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</si>
  <si>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</si>
  <si>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</si>
  <si>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</si>
  <si>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</si>
  <si>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</si>
  <si>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</si>
  <si>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</si>
  <si>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</si>
  <si>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</si>
  <si>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</si>
  <si>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</si>
  <si>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</si>
  <si>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</si>
  <si>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</si>
  <si>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</si>
  <si>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</si>
  <si>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</si>
  <si>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</si>
  <si>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</si>
  <si>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</si>
  <si>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</si>
  <si>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</si>
  <si>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</si>
  <si>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</si>
  <si>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</si>
  <si>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</si>
  <si>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</si>
  <si>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</si>
  <si>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</si>
  <si>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</si>
  <si>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</si>
  <si>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</si>
  <si>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</si>
  <si>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</si>
  <si>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</si>
  <si>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</si>
  <si>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</si>
  <si>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</si>
  <si>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</si>
  <si>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</si>
  <si>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</si>
  <si>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</si>
  <si>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</si>
  <si>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</si>
  <si>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</si>
  <si>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</si>
  <si>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</si>
  <si>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</si>
  <si>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</si>
  <si>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</si>
  <si>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</si>
  <si>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</si>
  <si>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</si>
  <si>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</si>
  <si>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</si>
  <si>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</si>
  <si>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</si>
  <si>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</si>
  <si>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</si>
  <si>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</si>
  <si>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</si>
  <si>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</si>
  <si>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</si>
  <si>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</si>
  <si>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</si>
  <si>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</si>
  <si>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</si>
  <si>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</si>
  <si>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</si>
  <si>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</si>
  <si>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</si>
  <si>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</si>
  <si>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</si>
  <si>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</si>
  <si>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</si>
  <si>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</si>
  <si>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</si>
  <si>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</si>
  <si>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</si>
  <si>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</si>
  <si>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</si>
  <si>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</si>
  <si>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</si>
  <si>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</si>
  <si>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</si>
  <si>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</si>
  <si>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</si>
  <si>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</si>
  <si>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</si>
  <si>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</si>
  <si>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</si>
  <si>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</si>
  <si>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</si>
  <si>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</si>
  <si>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</si>
  <si>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</si>
  <si>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</si>
  <si>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</si>
  <si>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</si>
  <si>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</si>
  <si>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</si>
  <si>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</si>
  <si>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</si>
  <si>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</si>
  <si>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</si>
  <si>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</si>
  <si>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</si>
  <si>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</si>
  <si>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</si>
  <si>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</si>
  <si>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</si>
  <si>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</si>
  <si>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</si>
  <si>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</si>
  <si>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</si>
  <si>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</si>
  <si>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</si>
  <si>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</si>
  <si>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</si>
  <si>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</si>
  <si>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</si>
  <si>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</si>
  <si>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</si>
  <si>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</si>
  <si>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</si>
  <si>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</si>
  <si>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</si>
  <si>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</si>
  <si>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</si>
  <si>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</si>
  <si>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</si>
  <si>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</si>
  <si>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</si>
  <si>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</si>
  <si>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</si>
  <si>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</si>
  <si>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</si>
  <si>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</si>
  <si>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</si>
  <si>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</si>
  <si>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</si>
  <si>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</si>
  <si>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</si>
  <si>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</si>
  <si>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</si>
  <si>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</si>
  <si>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</si>
  <si>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</si>
  <si>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</si>
  <si>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</si>
  <si>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</si>
  <si>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</si>
  <si>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</si>
  <si>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</si>
  <si>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</si>
  <si>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</si>
  <si>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</si>
  <si>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</si>
  <si>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</si>
  <si>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</si>
  <si>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</si>
  <si>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</si>
  <si>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</si>
  <si>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</si>
  <si>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</si>
  <si>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</si>
  <si>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</si>
  <si>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</si>
  <si>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</si>
  <si>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</si>
  <si>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</si>
  <si>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</si>
  <si>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</si>
  <si>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</si>
  <si>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</si>
  <si>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</si>
  <si>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</si>
  <si>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</si>
  <si>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</si>
  <si>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</si>
  <si>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</si>
  <si>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</si>
  <si>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</si>
  <si>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</si>
  <si>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</si>
  <si>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</si>
  <si>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</si>
  <si>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</si>
  <si>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</si>
  <si>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</si>
  <si>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</si>
  <si>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</si>
  <si>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</si>
  <si>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</si>
  <si>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</si>
  <si>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</si>
  <si>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</si>
  <si>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</si>
  <si>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</si>
  <si>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</si>
  <si>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</si>
  <si>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</si>
  <si>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</si>
  <si>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</si>
  <si>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</si>
  <si>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</si>
  <si>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</si>
  <si>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</si>
  <si>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</si>
  <si>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</si>
  <si>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</si>
  <si>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</si>
  <si>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</si>
  <si>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</si>
  <si>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</si>
  <si>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</si>
  <si>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</si>
  <si>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</si>
  <si>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</si>
  <si>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</si>
  <si>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</si>
  <si>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</si>
  <si>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</si>
  <si>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</si>
  <si>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</si>
  <si>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</si>
  <si>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</si>
  <si>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</si>
  <si>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</si>
  <si>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</si>
  <si>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</si>
  <si>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</si>
  <si>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</si>
  <si>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</si>
  <si>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</si>
  <si>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</si>
  <si>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</si>
  <si>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</si>
  <si>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</si>
  <si>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</si>
  <si>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</si>
  <si>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</si>
  <si>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</si>
  <si>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</si>
  <si>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</si>
  <si>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</si>
  <si>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</si>
  <si>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</si>
  <si>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</si>
  <si>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</si>
  <si>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</si>
  <si>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</si>
  <si>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</si>
  <si>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</si>
  <si>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</si>
  <si>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</si>
  <si>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</si>
  <si>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</si>
  <si>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</si>
  <si>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</si>
  <si>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</si>
  <si>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</si>
  <si>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</si>
  <si>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</si>
  <si>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</si>
  <si>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</si>
  <si>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</si>
  <si>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</si>
  <si>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</si>
  <si>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</si>
  <si>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</si>
  <si>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</si>
  <si>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</si>
  <si>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</si>
  <si>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</si>
  <si>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</si>
  <si>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</si>
  <si>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</si>
  <si>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</si>
  <si>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</si>
  <si>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</si>
  <si>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</si>
  <si>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</si>
  <si>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</si>
  <si>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</si>
  <si>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</si>
  <si>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</si>
  <si>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</si>
  <si>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</si>
  <si>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</si>
  <si>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</si>
  <si>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</si>
  <si>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</si>
  <si>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</si>
  <si>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</si>
  <si>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</si>
  <si>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</si>
  <si>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</si>
  <si>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</si>
  <si>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</si>
  <si>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</si>
  <si>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</si>
  <si>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</si>
  <si>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</si>
  <si>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</si>
  <si>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</si>
  <si>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</si>
  <si>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</si>
  <si>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</si>
  <si>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</si>
  <si>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</si>
  <si>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</si>
  <si>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</si>
  <si>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</si>
  <si>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</si>
  <si>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</si>
  <si>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</si>
  <si>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</si>
  <si>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</si>
  <si>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</si>
  <si>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</si>
  <si>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</si>
  <si>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</si>
  <si>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</si>
  <si>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</si>
  <si>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</si>
  <si>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</si>
  <si>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</si>
  <si>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</si>
  <si>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</si>
  <si>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</si>
  <si>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</si>
  <si>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</si>
  <si>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</si>
  <si>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</si>
  <si>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</si>
  <si>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</si>
  <si>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</si>
  <si>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</si>
  <si>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</si>
  <si>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</si>
  <si>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</si>
  <si>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</si>
  <si>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</si>
  <si>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</si>
  <si>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</si>
  <si>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</si>
  <si>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</si>
  <si>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</si>
  <si>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</si>
  <si>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</si>
  <si>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</si>
  <si>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</si>
  <si>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</si>
  <si>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</si>
  <si>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</si>
  <si>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</si>
  <si>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</si>
  <si>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</si>
  <si>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</si>
  <si>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</si>
  <si>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</si>
  <si>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</si>
  <si>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</si>
  <si>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</si>
  <si>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</si>
  <si>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</si>
  <si>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</si>
  <si>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</si>
  <si>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</si>
  <si>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</si>
  <si>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</si>
  <si>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</si>
  <si>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</si>
  <si>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</si>
  <si>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</si>
  <si>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</si>
  <si>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</si>
  <si>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</si>
  <si>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</si>
  <si>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</si>
  <si>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</si>
  <si>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</si>
  <si>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</si>
  <si>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</si>
  <si>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</si>
  <si>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</si>
  <si>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</si>
  <si>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</si>
  <si>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</si>
  <si>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</si>
  <si>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</si>
  <si>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</si>
  <si>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</si>
  <si>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</si>
  <si>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</si>
  <si>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</si>
  <si>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</si>
  <si>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</si>
  <si>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</si>
  <si>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</si>
  <si>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</si>
  <si>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</si>
  <si>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</si>
  <si>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</si>
  <si>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</si>
  <si>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</si>
  <si>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</si>
  <si>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</si>
  <si>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</si>
  <si>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</si>
  <si>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</si>
  <si>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</si>
  <si>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</si>
  <si>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</si>
  <si>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</si>
  <si>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</si>
  <si>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</si>
  <si>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</si>
  <si>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</si>
  <si>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</si>
  <si>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</si>
  <si>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</si>
  <si>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</si>
  <si>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</si>
  <si>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</si>
  <si>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</si>
  <si>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</si>
  <si>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</si>
  <si>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</si>
  <si>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</si>
  <si>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</si>
  <si>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</si>
  <si>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</si>
  <si>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</si>
  <si>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</si>
  <si>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</si>
  <si>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</si>
  <si>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</si>
  <si>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</si>
  <si>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</si>
  <si>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</si>
  <si>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</si>
  <si>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</si>
  <si>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</si>
  <si>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</si>
  <si>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</si>
  <si>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</si>
  <si>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</si>
  <si>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</si>
  <si>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</si>
  <si>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</si>
  <si>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</si>
  <si>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</si>
  <si>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</si>
  <si>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</si>
  <si>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</si>
  <si>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</si>
  <si>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</si>
  <si>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</si>
  <si>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</si>
  <si>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</si>
  <si>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</si>
  <si>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</si>
  <si>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</si>
  <si>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</si>
  <si>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</si>
  <si>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</si>
  <si>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</si>
  <si>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</si>
  <si>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</si>
  <si>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</si>
  <si>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</si>
  <si>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</si>
  <si>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</si>
  <si>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</si>
  <si>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</si>
  <si>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</si>
  <si>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</si>
  <si>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</si>
  <si>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</si>
  <si>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</si>
  <si>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</si>
  <si>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</si>
  <si>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</si>
  <si>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</si>
  <si>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</si>
  <si>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</si>
  <si>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</si>
  <si>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</si>
  <si>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</si>
  <si>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</si>
  <si>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</si>
  <si>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</si>
  <si>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</si>
  <si>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</si>
  <si>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</si>
  <si>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</si>
  <si>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</si>
  <si>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</si>
  <si>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</si>
  <si>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</si>
  <si>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</si>
  <si>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</si>
  <si>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</si>
  <si>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</si>
  <si>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</si>
  <si>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</si>
  <si>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</si>
  <si>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</si>
  <si>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</si>
  <si>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</si>
  <si>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</si>
  <si>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</si>
  <si>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</si>
  <si>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</si>
  <si>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</si>
  <si>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</si>
  <si>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</si>
  <si>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</si>
  <si>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</si>
  <si>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</si>
  <si>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</si>
  <si>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</si>
  <si>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</si>
  <si>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</si>
  <si>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</si>
  <si>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</si>
  <si>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</si>
  <si>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</si>
  <si>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</si>
  <si>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</si>
  <si>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</si>
  <si>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</si>
  <si>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</si>
  <si>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</si>
  <si>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</si>
  <si>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</si>
  <si>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</si>
  <si>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</si>
  <si>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</si>
  <si>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</si>
  <si>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</si>
  <si>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</si>
  <si>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</si>
  <si>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</si>
  <si>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</si>
  <si>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</si>
  <si>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</si>
  <si>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</si>
  <si>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</si>
  <si>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</si>
  <si>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</si>
  <si>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</si>
  <si>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</si>
  <si>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</si>
  <si>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</si>
  <si>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</si>
  <si>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</si>
  <si>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</si>
  <si>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</si>
  <si>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</si>
  <si>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</si>
  <si>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</si>
  <si>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</si>
  <si>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</si>
  <si>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</si>
  <si>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</si>
  <si>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</si>
  <si>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</si>
  <si>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</si>
  <si>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</si>
  <si>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</si>
  <si>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</si>
  <si>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</si>
  <si>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</si>
  <si>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</si>
  <si>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</si>
  <si>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</si>
  <si>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</si>
  <si>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</si>
  <si>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</si>
  <si>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</si>
  <si>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</si>
  <si>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</si>
  <si>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</si>
  <si>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</si>
  <si>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</si>
  <si>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</si>
  <si>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</si>
  <si>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</si>
  <si>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</si>
  <si>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</si>
  <si>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</si>
  <si>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</si>
  <si>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</si>
  <si>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</si>
  <si>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</si>
  <si>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</si>
  <si>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</si>
  <si>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</si>
  <si>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</si>
  <si>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</si>
  <si>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</si>
  <si>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</si>
  <si>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</si>
  <si>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</si>
  <si>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</si>
  <si>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</si>
  <si>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</si>
  <si>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</si>
  <si>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</si>
  <si>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</si>
  <si>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</si>
  <si>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</si>
  <si>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</si>
  <si>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</si>
  <si>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</si>
  <si>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</si>
  <si>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</si>
  <si>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</si>
  <si>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</si>
  <si>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</si>
  <si>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</si>
  <si>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</si>
  <si>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</si>
  <si>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</si>
  <si>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</si>
  <si>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</si>
  <si>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</si>
  <si>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</si>
  <si>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</si>
  <si>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</si>
  <si>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</si>
  <si>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</si>
  <si>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</si>
  <si>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</si>
  <si>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</si>
  <si>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</si>
  <si>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</si>
  <si>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</si>
  <si>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</si>
  <si>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</si>
  <si>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</si>
  <si>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</si>
  <si>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</si>
  <si>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</si>
  <si>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</si>
  <si>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</si>
  <si>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</si>
  <si>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</si>
  <si>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</si>
  <si>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</si>
  <si>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</si>
  <si>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</si>
  <si>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</si>
  <si>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</si>
  <si>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</si>
  <si>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</si>
  <si>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</si>
  <si>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</si>
  <si>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</si>
  <si>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</si>
  <si>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</si>
  <si>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</si>
  <si>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</si>
  <si>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</si>
  <si>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</si>
  <si>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</si>
  <si>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</si>
  <si>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</si>
  <si>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</si>
  <si>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</si>
  <si>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</si>
  <si>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</si>
  <si>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</si>
  <si>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</si>
  <si>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</si>
  <si>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</si>
  <si>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</si>
  <si>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</si>
  <si>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</si>
  <si>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</si>
  <si>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</si>
  <si>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</si>
  <si>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</si>
  <si>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</si>
  <si>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</si>
  <si>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</si>
  <si>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</si>
  <si>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</si>
  <si>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</si>
  <si>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</si>
  <si>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</si>
  <si>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</si>
  <si>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</si>
  <si>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</si>
  <si>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</si>
  <si>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</si>
  <si>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</si>
  <si>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</si>
  <si>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</si>
  <si>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</si>
  <si>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</si>
  <si>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</si>
  <si>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</si>
  <si>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</si>
  <si>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</si>
  <si>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</si>
  <si>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</si>
  <si>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</si>
  <si>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</si>
  <si>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</si>
  <si>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</si>
  <si>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</si>
  <si>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</si>
  <si>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</si>
  <si>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</si>
  <si>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</si>
  <si>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</si>
  <si>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</si>
  <si>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</si>
  <si>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</si>
  <si>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</si>
  <si>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</si>
  <si>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</si>
  <si>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</si>
  <si>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</si>
  <si>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</si>
  <si>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</si>
  <si>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</si>
  <si>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</si>
  <si>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</si>
  <si>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</si>
  <si>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</si>
  <si>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</si>
  <si>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</si>
  <si>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</si>
  <si>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</si>
  <si>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</si>
  <si>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</si>
  <si>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</si>
  <si>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</si>
  <si>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</si>
  <si>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</si>
  <si>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</si>
  <si>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</si>
  <si>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</si>
  <si>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</si>
  <si>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</si>
  <si>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</si>
  <si>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</si>
  <si>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</si>
  <si>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</si>
  <si>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</si>
  <si>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</si>
  <si>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</si>
  <si>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</si>
  <si>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</si>
  <si>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</si>
  <si>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</si>
  <si>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</si>
  <si>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</si>
  <si>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</si>
  <si>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</si>
  <si>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</si>
  <si>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</si>
  <si>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</si>
  <si>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</si>
  <si>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</si>
  <si>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</si>
  <si>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</si>
  <si>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</si>
  <si>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</si>
  <si>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</si>
  <si>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</si>
  <si>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</si>
  <si>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</si>
  <si>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</si>
  <si>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</si>
  <si>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</si>
  <si>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</si>
  <si>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</si>
  <si>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</si>
  <si>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</si>
  <si>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</si>
  <si>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</si>
  <si>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</si>
  <si>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</si>
  <si>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</si>
  <si>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</si>
  <si>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</si>
  <si>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</si>
  <si>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</si>
  <si>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</si>
  <si>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</si>
  <si>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</si>
  <si>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</si>
  <si>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</si>
  <si>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</si>
  <si>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</si>
  <si>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</si>
  <si>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</si>
  <si>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</si>
  <si>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</si>
  <si>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</si>
  <si>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</si>
  <si>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</si>
  <si>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</si>
  <si>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</si>
  <si>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</si>
  <si>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</si>
  <si>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</si>
  <si>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</si>
  <si>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</si>
  <si>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</si>
  <si>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</si>
  <si>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</si>
  <si>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</si>
  <si>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</si>
  <si>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</si>
  <si>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</si>
  <si>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</si>
  <si>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</si>
  <si>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</si>
  <si>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</si>
  <si>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</si>
  <si>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</si>
  <si>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</si>
  <si>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</si>
  <si>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</si>
  <si>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</si>
  <si>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</si>
  <si>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</si>
  <si>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</si>
  <si>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</si>
  <si>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</si>
  <si>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</si>
  <si>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</si>
  <si>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</si>
  <si>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</si>
  <si>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</si>
  <si>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</si>
  <si>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</si>
  <si>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</si>
  <si>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</si>
  <si>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</si>
  <si>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</si>
  <si>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</si>
  <si>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</si>
  <si>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</si>
  <si>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</si>
  <si>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</si>
  <si>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</si>
  <si>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</si>
  <si>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</si>
  <si>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</si>
  <si>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</si>
  <si>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</si>
  <si>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</si>
  <si>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</si>
  <si>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</si>
  <si>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</si>
  <si>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</si>
  <si>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</si>
  <si>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</si>
  <si>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</si>
  <si>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</si>
  <si>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</si>
  <si>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</si>
  <si>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</si>
  <si>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</si>
  <si>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</si>
  <si>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</si>
  <si>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</si>
  <si>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</si>
  <si>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</si>
  <si>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</si>
  <si>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</si>
  <si>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</si>
  <si>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</si>
  <si>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</si>
  <si>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</si>
  <si>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</si>
  <si>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</si>
  <si>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</si>
  <si>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</si>
  <si>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</si>
  <si>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</si>
  <si>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</si>
  <si>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</si>
  <si>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</si>
  <si>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</si>
  <si>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</si>
  <si>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</si>
  <si>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</si>
  <si>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</si>
  <si>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</si>
  <si>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</si>
  <si>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</si>
  <si>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</si>
  <si>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</si>
  <si>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</si>
  <si>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</si>
  <si>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</si>
  <si>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</si>
  <si>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</si>
  <si>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</si>
  <si>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</si>
  <si>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</si>
  <si>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</si>
  <si>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</si>
  <si>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</si>
  <si>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</si>
  <si>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</si>
  <si>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</si>
  <si>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</si>
  <si>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</si>
  <si>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</si>
  <si>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</si>
  <si>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</si>
  <si>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</si>
  <si>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</si>
  <si>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</si>
  <si>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</si>
  <si>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</si>
  <si>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</si>
  <si>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</si>
  <si>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</si>
  <si>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</si>
  <si>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</si>
  <si>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</si>
  <si>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</si>
  <si>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</si>
  <si>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</si>
  <si>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</si>
  <si>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</si>
  <si>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</si>
  <si>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</si>
  <si>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</si>
  <si>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</si>
  <si>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</si>
  <si>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</si>
  <si>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</si>
  <si>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</si>
  <si>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</si>
  <si>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</si>
  <si>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</si>
  <si>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</si>
  <si>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</si>
  <si>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</si>
  <si>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</si>
  <si>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</si>
  <si>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</si>
  <si>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</si>
  <si>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</si>
  <si>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</si>
  <si>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</si>
  <si>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</si>
  <si>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</si>
  <si>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</si>
  <si>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</si>
  <si>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</si>
  <si>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</si>
  <si>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</si>
  <si>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</si>
  <si>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</si>
  <si>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</si>
  <si>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</si>
  <si>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</si>
  <si>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</si>
  <si>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</si>
  <si>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</si>
  <si>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</si>
  <si>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</si>
  <si>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</si>
  <si>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</si>
  <si>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</si>
  <si>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</si>
  <si>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</si>
  <si>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</si>
  <si>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</si>
  <si>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</si>
  <si>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</si>
  <si>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</si>
  <si>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</si>
  <si>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</si>
  <si>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</si>
  <si>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</si>
  <si>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</si>
  <si>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</si>
  <si>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</si>
  <si>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</si>
  <si>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</si>
  <si>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</si>
  <si>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</si>
  <si>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</si>
  <si>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</si>
  <si>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</si>
  <si>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</si>
  <si>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</si>
  <si>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</si>
  <si>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</si>
  <si>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</si>
  <si>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</si>
  <si>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</si>
  <si>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</si>
  <si>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</si>
  <si>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</si>
  <si>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</si>
  <si>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</si>
  <si>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</si>
  <si>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</si>
  <si>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</si>
  <si>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</si>
  <si>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</si>
  <si>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</si>
  <si>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</si>
  <si>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</si>
  <si>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</si>
  <si>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</si>
  <si>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</si>
  <si>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</si>
  <si>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</si>
  <si>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</si>
  <si>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</si>
  <si>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</si>
  <si>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</si>
  <si>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</si>
  <si>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</si>
  <si>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</si>
  <si>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</si>
  <si>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</si>
  <si>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</si>
  <si>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</si>
  <si>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</si>
  <si>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</si>
  <si>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</si>
  <si>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</si>
  <si>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</si>
  <si>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</si>
  <si>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</si>
  <si>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</si>
  <si>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</si>
  <si>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</si>
  <si>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</si>
  <si>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</si>
  <si>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</si>
  <si>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</si>
  <si>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</si>
  <si>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</si>
  <si>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</si>
  <si>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</si>
  <si>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</si>
  <si>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</si>
  <si>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</si>
  <si>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</si>
  <si>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</si>
  <si>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</si>
  <si>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</si>
  <si>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</si>
  <si>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</si>
  <si>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</si>
  <si>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</si>
  <si>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</si>
  <si>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</si>
  <si>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</si>
  <si>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</si>
  <si>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</si>
  <si>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</si>
  <si>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</si>
  <si>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</si>
  <si>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</si>
  <si>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</si>
  <si>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</si>
  <si>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</si>
  <si>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</si>
  <si>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</si>
  <si>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</si>
  <si>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</si>
  <si>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</si>
  <si>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</si>
  <si>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</si>
  <si>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</si>
  <si>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</si>
  <si>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</si>
  <si>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</si>
  <si>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</si>
  <si>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</si>
  <si>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</si>
  <si>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</si>
  <si>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</si>
  <si>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</si>
  <si>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</si>
  <si>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</si>
  <si>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</si>
  <si>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</si>
  <si>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</si>
  <si>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</si>
  <si>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</si>
  <si>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</si>
  <si>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</si>
  <si>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</si>
  <si>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</si>
  <si>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</si>
  <si>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</si>
  <si>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</si>
  <si>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</si>
  <si>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</si>
  <si>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</si>
  <si>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</si>
  <si>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</si>
  <si>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</si>
  <si>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</si>
  <si>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</si>
  <si>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</si>
  <si>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</si>
  <si>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</si>
  <si>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</si>
  <si>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</si>
  <si>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</si>
  <si>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</si>
  <si>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</si>
  <si>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</si>
  <si>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</si>
  <si>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</si>
  <si>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</si>
  <si>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</si>
  <si>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</si>
  <si>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</si>
  <si>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</si>
  <si>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</si>
  <si>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</si>
  <si>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</si>
  <si>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</si>
  <si>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</si>
  <si>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</si>
  <si>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</si>
  <si>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</si>
  <si>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</si>
  <si>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</si>
  <si>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</si>
  <si>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</si>
  <si>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</si>
  <si>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</si>
  <si>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</si>
  <si>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</si>
  <si>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</si>
  <si>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</si>
  <si>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</si>
  <si>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</si>
  <si>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</si>
  <si>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</si>
  <si>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</si>
  <si>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</si>
  <si>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</si>
  <si>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</si>
  <si>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</si>
  <si>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</si>
  <si>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</si>
  <si>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</si>
  <si>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</si>
  <si>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</si>
  <si>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</si>
  <si>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</si>
  <si>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</si>
  <si>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</si>
  <si>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</si>
  <si>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</si>
  <si>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</si>
  <si>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</si>
  <si>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</si>
  <si>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</si>
  <si>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</si>
  <si>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</si>
  <si>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</si>
  <si>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</si>
  <si>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</si>
  <si>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</si>
  <si>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</si>
  <si>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</si>
  <si>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</si>
  <si>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</si>
  <si>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</si>
  <si>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</si>
  <si>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</si>
  <si>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</si>
  <si>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</si>
  <si>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</si>
  <si>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</si>
  <si>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</si>
  <si>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</si>
  <si>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</si>
  <si>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</si>
  <si>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</si>
  <si>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</si>
  <si>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</si>
  <si>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</si>
  <si>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</si>
  <si>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</si>
  <si>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</si>
  <si>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</si>
  <si>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</si>
  <si>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</si>
  <si>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</si>
  <si>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</si>
  <si>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</si>
  <si>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</si>
  <si>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</si>
  <si>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</si>
  <si>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</si>
  <si>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</si>
  <si>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</si>
  <si>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</si>
  <si>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</si>
  <si>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</si>
  <si>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</si>
  <si>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</si>
  <si>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</si>
  <si>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</si>
  <si>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</si>
  <si>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</si>
  <si>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</si>
  <si>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</si>
  <si>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</si>
  <si>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</si>
  <si>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</si>
  <si>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</si>
  <si>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</si>
  <si>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</si>
  <si>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</si>
  <si>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</si>
  <si>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</si>
  <si>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</si>
  <si>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</si>
  <si>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</si>
  <si>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</si>
  <si>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</si>
  <si>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</si>
  <si>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</si>
  <si>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</si>
  <si>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</si>
  <si>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</si>
  <si>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</si>
  <si>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</si>
  <si>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</si>
  <si>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</si>
  <si>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</si>
  <si>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</si>
  <si>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</si>
  <si>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</si>
  <si>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</si>
  <si>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</si>
  <si>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</si>
  <si>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</si>
  <si>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</si>
  <si>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</si>
  <si>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</si>
  <si>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</si>
  <si>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</si>
  <si>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</si>
  <si>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</si>
  <si>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</si>
  <si>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</si>
  <si>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</si>
  <si>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</si>
  <si>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</si>
  <si>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</si>
  <si>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</si>
  <si>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</si>
  <si>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</si>
  <si>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</si>
  <si>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</si>
  <si>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</si>
  <si>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</si>
  <si>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</si>
  <si>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</si>
  <si>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</si>
  <si>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</si>
  <si>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</si>
  <si>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</si>
  <si>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</si>
  <si>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</si>
  <si>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</si>
  <si>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</si>
  <si>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</si>
  <si>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</si>
  <si>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</si>
  <si>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</si>
  <si>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</si>
  <si>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</si>
  <si>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</si>
  <si>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</si>
  <si>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</si>
  <si>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</si>
  <si>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</si>
  <si>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</si>
  <si>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</si>
  <si>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</si>
  <si>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</si>
  <si>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</si>
  <si>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</si>
  <si>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</si>
  <si>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</si>
  <si>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</si>
  <si>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</si>
  <si>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</si>
  <si>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</si>
  <si>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</si>
  <si>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</si>
  <si>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</si>
  <si>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</si>
  <si>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</si>
  <si>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</si>
  <si>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</si>
  <si>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</si>
  <si>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</si>
  <si>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</si>
  <si>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</si>
  <si>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</si>
  <si>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</si>
  <si>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</si>
  <si>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</si>
  <si>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</si>
  <si>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</si>
  <si>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</si>
  <si>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</si>
  <si>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</si>
  <si>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</si>
  <si>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</si>
  <si>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</si>
  <si>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</si>
  <si>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</si>
  <si>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</si>
  <si>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</si>
  <si>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</si>
  <si>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</si>
  <si>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</si>
  <si>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</si>
  <si>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</si>
  <si>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</si>
  <si>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</si>
  <si>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</si>
  <si>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</si>
  <si>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</si>
  <si>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</si>
  <si>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</si>
  <si>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</si>
  <si>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</si>
  <si>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</si>
  <si>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</si>
  <si>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</si>
  <si>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</si>
  <si>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</si>
  <si>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</si>
  <si>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</si>
  <si>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</si>
  <si>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</si>
  <si>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</si>
  <si>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</si>
  <si>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</si>
  <si>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</si>
  <si>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</si>
  <si>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</si>
  <si>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</si>
  <si>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</si>
  <si>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</si>
  <si>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</si>
  <si>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</si>
  <si>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</si>
  <si>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</si>
  <si>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</si>
  <si>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</si>
  <si>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</si>
  <si>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</si>
  <si>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</si>
  <si>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</si>
  <si>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</si>
  <si>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</si>
  <si>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</si>
  <si>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</si>
  <si>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</si>
  <si>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</si>
  <si>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</si>
  <si>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</si>
  <si>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</si>
  <si>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</si>
  <si>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</si>
  <si>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</si>
  <si>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</si>
  <si>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</si>
  <si>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</si>
  <si>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</si>
  <si>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</si>
  <si>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</si>
  <si>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</si>
  <si>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</si>
  <si>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</si>
  <si>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</si>
  <si>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</si>
  <si>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</si>
  <si>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</si>
  <si>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</si>
  <si>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</si>
  <si>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</si>
  <si>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</si>
  <si>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</si>
  <si>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</si>
  <si>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</si>
  <si>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</si>
  <si>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</si>
  <si>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</si>
  <si>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</si>
  <si>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</si>
  <si>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</si>
  <si>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</si>
  <si>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</si>
  <si>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</si>
  <si>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</si>
  <si>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</si>
  <si>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</si>
  <si>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</si>
  <si>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</si>
  <si>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</si>
  <si>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</si>
  <si>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</si>
  <si>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</si>
  <si>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</si>
  <si>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</si>
  <si>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</si>
  <si>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</si>
  <si>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</si>
  <si>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</si>
  <si>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</si>
  <si>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HUGUES TUPHILE</t>
  </si>
  <si>
    <t xml:space="preserve">L'AVEYRON</t>
  </si>
  <si>
    <t xml:space="preserve">L'AVEYRON A LUGANS</t>
  </si>
  <si>
    <t xml:space="preserve">05128000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</si>
  <si>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</si>
  <si>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</si>
  <si>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</si>
  <si>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</si>
  <si>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</si>
  <si>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</si>
  <si>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</si>
  <si>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</si>
  <si>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</si>
  <si>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</si>
  <si>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</si>
  <si>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moyen</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</si>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</sst>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42585</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10.7692307692308</v>
      </c>
      <c r="N5" s="324"/>
      <c r="O5" s="325" t="s">
        <v>195</v>
      </c>
      <c r="P5" s="326" t="n">
        <v>10</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3</v>
      </c>
      <c r="P6" s="338" t="s">
        <v>3393</v>
      </c>
      <c r="Q6" s="339"/>
      <c r="R6" s="281"/>
      <c r="S6" s="281"/>
      <c r="T6" s="281"/>
      <c r="U6" s="281"/>
      <c r="V6" s="281"/>
      <c r="W6" s="295"/>
      <c r="X6" s="0"/>
      <c r="Y6" s="0"/>
      <c r="Z6" s="0"/>
    </row>
    <row r="7" customFormat="false" ht="12.75" hidden="false" customHeight="false" outlineLevel="0" collapsed="false">
      <c r="A7" s="340" t="s">
        <v>3394</v>
      </c>
      <c r="B7" s="341" t="n">
        <v>22</v>
      </c>
      <c r="C7" s="342" t="n">
        <v>78</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9.66666666666667</v>
      </c>
      <c r="P8" s="356" t="n">
        <f aca="false">IF(ISERROR(AVERAGE(K23:K82)),"  ",AVERAGE(K23:K82))</f>
        <v>1.58333333333333</v>
      </c>
      <c r="Q8" s="357"/>
      <c r="R8" s="281"/>
      <c r="S8" s="281"/>
      <c r="T8" s="281"/>
      <c r="U8" s="281"/>
      <c r="V8" s="281"/>
      <c r="W8" s="295"/>
      <c r="X8" s="0"/>
      <c r="Y8" s="0"/>
      <c r="Z8" s="0"/>
    </row>
    <row r="9" customFormat="false" ht="12.75" hidden="false" customHeight="false" outlineLevel="0" collapsed="false">
      <c r="A9" s="314" t="s">
        <v>3400</v>
      </c>
      <c r="B9" s="358" t="n">
        <v>2</v>
      </c>
      <c r="C9" s="359" t="n">
        <v>1</v>
      </c>
      <c r="D9" s="360"/>
      <c r="E9" s="360"/>
      <c r="F9" s="361" t="n">
        <f aca="false">($B9*$B$7+$C9*$C$7)/100</f>
        <v>1.22</v>
      </c>
      <c r="G9" s="362"/>
      <c r="H9" s="317"/>
      <c r="I9" s="281"/>
      <c r="J9" s="363"/>
      <c r="K9" s="364"/>
      <c r="L9" s="347"/>
      <c r="M9" s="365"/>
      <c r="N9" s="355" t="s">
        <v>3401</v>
      </c>
      <c r="O9" s="356" t="n">
        <f aca="false">IF(ISERROR(STDEVP(J23:J82))," ",STDEVP(J23:J82))</f>
        <v>3.44802681092953</v>
      </c>
      <c r="P9" s="356" t="n">
        <f aca="false">IF(ISERROR(STDEVP(K23:K82)),"  ",STDEVP(K23:K82))</f>
        <v>0.493006648591635</v>
      </c>
      <c r="Q9" s="357"/>
      <c r="R9" s="281"/>
      <c r="S9" s="281"/>
      <c r="T9" s="281"/>
      <c r="U9" s="281"/>
      <c r="V9" s="281"/>
      <c r="W9" s="295"/>
      <c r="X9" s="0"/>
      <c r="Y9" s="0"/>
      <c r="Z9" s="0"/>
    </row>
    <row r="10" customFormat="false" ht="12.75" hidden="false" customHeight="false" outlineLevel="0" collapsed="false">
      <c r="A10" s="314" t="s">
        <v>3402</v>
      </c>
      <c r="B10" s="366" t="s">
        <v>3403</v>
      </c>
      <c r="C10" s="367" t="s">
        <v>3404</v>
      </c>
      <c r="D10" s="360"/>
      <c r="E10" s="360"/>
      <c r="F10" s="361"/>
      <c r="G10" s="362"/>
      <c r="H10" s="330"/>
      <c r="I10" s="281"/>
      <c r="J10" s="368"/>
      <c r="K10" s="369" t="s">
        <v>3405</v>
      </c>
      <c r="L10" s="370"/>
      <c r="M10" s="371"/>
      <c r="N10" s="355" t="s">
        <v>3406</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3407</v>
      </c>
      <c r="B11" s="375"/>
      <c r="C11" s="376"/>
      <c r="D11" s="360"/>
      <c r="E11" s="360"/>
      <c r="F11" s="377" t="n">
        <f aca="false">($B11*$B$7+$C11*$C$7)/100</f>
        <v>0</v>
      </c>
      <c r="G11" s="378"/>
      <c r="H11" s="330"/>
      <c r="I11" s="281"/>
      <c r="J11" s="379" t="s">
        <v>3408</v>
      </c>
      <c r="K11" s="379"/>
      <c r="L11" s="380" t="n">
        <f aca="false">COUNTIF($G$23:$G$82,"=HET")</f>
        <v>0</v>
      </c>
      <c r="M11" s="381"/>
      <c r="N11" s="355" t="s">
        <v>3409</v>
      </c>
      <c r="O11" s="372" t="n">
        <f aca="false">MAX(J23:J82)</f>
        <v>15</v>
      </c>
      <c r="P11" s="372" t="n">
        <f aca="false">MAX(K23:K82)</f>
        <v>2</v>
      </c>
      <c r="Q11" s="373"/>
      <c r="R11" s="281"/>
      <c r="S11" s="281"/>
      <c r="T11" s="281"/>
      <c r="U11" s="281"/>
      <c r="V11" s="281"/>
      <c r="W11" s="295"/>
      <c r="X11" s="0"/>
      <c r="Y11" s="0"/>
      <c r="Z11" s="0"/>
    </row>
    <row r="12" customFormat="false" ht="12.75" hidden="false" customHeight="false" outlineLevel="0" collapsed="false">
      <c r="A12" s="382" t="s">
        <v>3410</v>
      </c>
      <c r="B12" s="383"/>
      <c r="C12" s="384"/>
      <c r="D12" s="360"/>
      <c r="E12" s="360"/>
      <c r="F12" s="377" t="n">
        <f aca="false">($B12*$B$7+$C12*$C$7)/100</f>
        <v>0</v>
      </c>
      <c r="G12" s="378"/>
      <c r="H12" s="330"/>
      <c r="I12" s="281"/>
      <c r="J12" s="379" t="s">
        <v>3411</v>
      </c>
      <c r="K12" s="379"/>
      <c r="L12" s="380" t="n">
        <f aca="false">COUNTIF($G$23:$G$82,"=ALG")</f>
        <v>6</v>
      </c>
      <c r="M12" s="381"/>
      <c r="N12" s="385"/>
      <c r="O12" s="386" t="s">
        <v>3405</v>
      </c>
      <c r="P12" s="387"/>
      <c r="Q12" s="388"/>
      <c r="R12" s="281"/>
      <c r="S12" s="281"/>
      <c r="T12" s="281"/>
      <c r="U12" s="281"/>
      <c r="V12" s="281"/>
      <c r="W12" s="295"/>
      <c r="X12" s="0"/>
      <c r="Y12" s="0"/>
      <c r="Z12" s="0"/>
    </row>
    <row r="13" customFormat="false" ht="12.75" hidden="false" customHeight="false" outlineLevel="0" collapsed="false">
      <c r="A13" s="382" t="s">
        <v>3412</v>
      </c>
      <c r="B13" s="383"/>
      <c r="C13" s="384"/>
      <c r="D13" s="360"/>
      <c r="E13" s="360"/>
      <c r="F13" s="377" t="n">
        <f aca="false">($B13*$B$7+$C13*$C$7)/100</f>
        <v>0</v>
      </c>
      <c r="G13" s="378"/>
      <c r="H13" s="330"/>
      <c r="I13" s="281"/>
      <c r="J13" s="379" t="s">
        <v>3413</v>
      </c>
      <c r="K13" s="379"/>
      <c r="L13" s="380" t="n">
        <f aca="false">COUNTIF($G$23:$G$82,"=BRm")+COUNTIF($G$23:$G$82,"=BRh")</f>
        <v>6</v>
      </c>
      <c r="M13" s="381"/>
      <c r="N13" s="389" t="s">
        <v>3414</v>
      </c>
      <c r="O13" s="390" t="n">
        <f aca="false">COUNTIF(F23:F82,"&gt;0")</f>
        <v>15</v>
      </c>
      <c r="P13" s="372"/>
      <c r="Q13" s="391"/>
      <c r="R13" s="281"/>
      <c r="S13" s="281"/>
      <c r="T13" s="281"/>
      <c r="U13" s="281"/>
      <c r="V13" s="281"/>
      <c r="W13" s="295"/>
      <c r="X13" s="0"/>
      <c r="Y13" s="0"/>
      <c r="Z13" s="0"/>
    </row>
    <row r="14" customFormat="false" ht="12.75" hidden="false" customHeight="false" outlineLevel="0" collapsed="false">
      <c r="A14" s="382" t="s">
        <v>3415</v>
      </c>
      <c r="B14" s="383"/>
      <c r="C14" s="384"/>
      <c r="D14" s="360"/>
      <c r="E14" s="360"/>
      <c r="F14" s="377" t="n">
        <f aca="false">($B14*$B$7+$C14*$C$7)/100</f>
        <v>0</v>
      </c>
      <c r="G14" s="378"/>
      <c r="H14" s="330"/>
      <c r="I14" s="281"/>
      <c r="J14" s="379" t="s">
        <v>3416</v>
      </c>
      <c r="K14" s="379"/>
      <c r="L14" s="380" t="n">
        <f aca="false">COUNTIF($G$23:$G$82,"=PTE")+COUNTIF($G$23:$G$82,"=LIC")</f>
        <v>0</v>
      </c>
      <c r="M14" s="381"/>
      <c r="N14" s="392" t="s">
        <v>3417</v>
      </c>
      <c r="O14" s="393" t="n">
        <f aca="false">COUNTIF($J$23:$J$82,"&gt;-1")</f>
        <v>12</v>
      </c>
      <c r="P14" s="394"/>
      <c r="Q14" s="391"/>
      <c r="R14" s="281"/>
      <c r="S14" s="281"/>
      <c r="T14" s="281"/>
      <c r="U14" s="281"/>
      <c r="V14" s="281"/>
      <c r="W14" s="295"/>
      <c r="X14" s="0"/>
      <c r="Y14" s="0"/>
      <c r="Z14" s="0"/>
    </row>
    <row r="15" customFormat="false" ht="12.75" hidden="false" customHeight="false" outlineLevel="0" collapsed="false">
      <c r="A15" s="395" t="s">
        <v>3418</v>
      </c>
      <c r="B15" s="396"/>
      <c r="C15" s="397"/>
      <c r="D15" s="360"/>
      <c r="E15" s="360"/>
      <c r="F15" s="377" t="n">
        <f aca="false">($B15*$B$7+$C15*$C$7)/100</f>
        <v>0</v>
      </c>
      <c r="G15" s="378"/>
      <c r="H15" s="330"/>
      <c r="I15" s="281"/>
      <c r="J15" s="379" t="s">
        <v>3419</v>
      </c>
      <c r="K15" s="379"/>
      <c r="L15" s="380" t="n">
        <f aca="false">(COUNTIF($G$23:$G$82,"=PHy"))+(COUNTIF($G$23:$G$82,"=PHe"))+(COUNTIF($G$23:$G$82,"=PHg"))+(COUNTIF($G$23:$G$82,"=PHx"))</f>
        <v>3</v>
      </c>
      <c r="M15" s="381"/>
      <c r="N15" s="389" t="s">
        <v>3420</v>
      </c>
      <c r="O15" s="390" t="n">
        <f aca="false">COUNTIF(K23:K82,"=1")</f>
        <v>5</v>
      </c>
      <c r="P15" s="372"/>
      <c r="Q15" s="391"/>
      <c r="R15" s="281"/>
      <c r="S15" s="281"/>
      <c r="T15" s="281"/>
      <c r="U15" s="281"/>
      <c r="V15" s="281"/>
      <c r="W15" s="295"/>
      <c r="X15" s="0"/>
      <c r="Y15" s="0"/>
      <c r="Z15" s="0"/>
    </row>
    <row r="16" customFormat="false" ht="12.75" hidden="false" customHeight="false" outlineLevel="0" collapsed="false">
      <c r="A16" s="374" t="s">
        <v>3421</v>
      </c>
      <c r="B16" s="375"/>
      <c r="C16" s="376"/>
      <c r="D16" s="360"/>
      <c r="E16" s="360"/>
      <c r="F16" s="398"/>
      <c r="G16" s="399" t="n">
        <f aca="false">($B16*$B$7+$C16*$C$7)/100</f>
        <v>0</v>
      </c>
      <c r="H16" s="330"/>
      <c r="I16" s="281"/>
      <c r="J16" s="400"/>
      <c r="K16" s="401"/>
      <c r="L16" s="401"/>
      <c r="M16" s="381"/>
      <c r="N16" s="389" t="s">
        <v>3422</v>
      </c>
      <c r="O16" s="390" t="n">
        <f aca="false">COUNTIF(K23:K82,"=2")</f>
        <v>7</v>
      </c>
      <c r="P16" s="372"/>
      <c r="Q16" s="391"/>
      <c r="R16" s="281"/>
      <c r="S16" s="281"/>
      <c r="T16" s="281"/>
      <c r="U16" s="281"/>
      <c r="V16" s="281"/>
      <c r="W16" s="295"/>
      <c r="X16" s="0"/>
      <c r="Y16" s="0"/>
      <c r="Z16" s="0"/>
    </row>
    <row r="17" customFormat="false" ht="12.75" hidden="false" customHeight="false" outlineLevel="0" collapsed="false">
      <c r="A17" s="382" t="s">
        <v>3423</v>
      </c>
      <c r="B17" s="383"/>
      <c r="C17" s="384"/>
      <c r="D17" s="360"/>
      <c r="E17" s="360"/>
      <c r="F17" s="402"/>
      <c r="G17" s="403" t="n">
        <f aca="false">($B17*$B$7+$C17*$C$7)/100</f>
        <v>0</v>
      </c>
      <c r="H17" s="330"/>
      <c r="I17" s="281"/>
      <c r="J17" s="404"/>
      <c r="K17" s="405"/>
      <c r="L17" s="406" t="s">
        <v>3424</v>
      </c>
      <c r="M17" s="407" t="n">
        <f aca="false">IF(ISERROR((O13-(COUNTIF(J23:J82,"nc")))/O13),"-",(O13-(COUNTIF(J23:J82,"nc")))/O13)</f>
        <v>0.8</v>
      </c>
      <c r="N17" s="389" t="s">
        <v>3425</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3426</v>
      </c>
      <c r="B18" s="410"/>
      <c r="C18" s="411"/>
      <c r="D18" s="360"/>
      <c r="E18" s="412" t="s">
        <v>3427</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3428</v>
      </c>
      <c r="B20" s="432" t="n">
        <f aca="false">SUM(B23:B82)</f>
        <v>3.05</v>
      </c>
      <c r="C20" s="433" t="n">
        <f aca="false">SUM(C23:C82)</f>
        <v>0.95</v>
      </c>
      <c r="D20" s="434"/>
      <c r="E20" s="435" t="s">
        <v>3427</v>
      </c>
      <c r="F20" s="436" t="n">
        <f aca="false">($B20*$B$7+$C20*$C$7)/100</f>
        <v>1.412</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3429</v>
      </c>
      <c r="B21" s="444" t="n">
        <f aca="false">B20*B7/100</f>
        <v>0.671</v>
      </c>
      <c r="C21" s="444" t="n">
        <f aca="false">C20*C7/100</f>
        <v>0.741</v>
      </c>
      <c r="D21" s="445" t="s">
        <v>3430</v>
      </c>
      <c r="E21" s="446"/>
      <c r="F21" s="447" t="n">
        <f aca="false">B21+C21</f>
        <v>1.412</v>
      </c>
      <c r="G21" s="448"/>
      <c r="H21" s="360"/>
      <c r="I21" s="281"/>
      <c r="J21" s="449"/>
      <c r="K21" s="449"/>
      <c r="L21" s="450"/>
      <c r="M21" s="450"/>
      <c r="N21" s="451"/>
      <c r="O21" s="451"/>
      <c r="P21" s="452"/>
      <c r="Q21" s="443"/>
      <c r="R21" s="281"/>
      <c r="S21" s="281"/>
      <c r="T21" s="453"/>
      <c r="U21" s="453"/>
      <c r="V21" s="281"/>
      <c r="W21" s="454"/>
      <c r="X21" s="455" t="s">
        <v>3431</v>
      </c>
      <c r="Y21" s="0"/>
      <c r="Z21" s="0"/>
    </row>
    <row r="22" customFormat="false" ht="12.75" hidden="false" customHeight="false" outlineLevel="0" collapsed="false">
      <c r="A22" s="456" t="s">
        <v>3432</v>
      </c>
      <c r="B22" s="457" t="s">
        <v>3433</v>
      </c>
      <c r="C22" s="457" t="s">
        <v>3433</v>
      </c>
      <c r="D22" s="458"/>
      <c r="E22" s="459"/>
      <c r="F22" s="460" t="s">
        <v>3434</v>
      </c>
      <c r="G22" s="461" t="s">
        <v>23</v>
      </c>
      <c r="H22" s="360" t="s">
        <v>24</v>
      </c>
      <c r="I22" s="281" t="s">
        <v>3435</v>
      </c>
      <c r="J22" s="462" t="s">
        <v>3436</v>
      </c>
      <c r="K22" s="462" t="s">
        <v>3437</v>
      </c>
      <c r="L22" s="463" t="s">
        <v>3438</v>
      </c>
      <c r="M22" s="463"/>
      <c r="N22" s="463"/>
      <c r="O22" s="463"/>
      <c r="P22" s="455" t="s">
        <v>3439</v>
      </c>
      <c r="Q22" s="464" t="s">
        <v>3440</v>
      </c>
      <c r="R22" s="465" t="s">
        <v>3441</v>
      </c>
      <c r="S22" s="466" t="s">
        <v>3442</v>
      </c>
      <c r="T22" s="467" t="s">
        <v>3443</v>
      </c>
      <c r="U22" s="467" t="s">
        <v>3444</v>
      </c>
      <c r="V22" s="468" t="s">
        <v>3445</v>
      </c>
      <c r="W22" s="469" t="s">
        <v>3446</v>
      </c>
      <c r="X22" s="469" t="s">
        <v>3447</v>
      </c>
      <c r="Y22" s="470" t="s">
        <v>3448</v>
      </c>
      <c r="Z22" s="470" t="s">
        <v>3449</v>
      </c>
    </row>
    <row r="23" customFormat="false" ht="12.75" hidden="false" customHeight="false" outlineLevel="0" collapsed="false">
      <c r="A23" s="471" t="s">
        <v>53</v>
      </c>
      <c r="B23" s="472" t="n">
        <v>0.05</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0.011</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3450</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0.011</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134</v>
      </c>
      <c r="B24" s="490" t="n">
        <v>0.05</v>
      </c>
      <c r="C24" s="491" t="n">
        <v>0.05</v>
      </c>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0.05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3450</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0.05</v>
      </c>
      <c r="S24" s="485" t="n">
        <f aca="false">IF(OR(ISTEXT(H24),R24=0),"",IF(R24&lt;0.1,1,IF(R24&lt;1,2,IF(R24&lt;10,3,IF(R24&lt;50,4,IF(R24&gt;=50,5,""))))))</f>
        <v>1</v>
      </c>
      <c r="T24" s="485" t="n">
        <f aca="false">IF(ISERROR(S24*J24),0,S24*J24)</f>
        <v>6</v>
      </c>
      <c r="U24" s="485" t="n">
        <f aca="false">IF(ISERROR(S24*J24*K24),0,S24*J24*K24)</f>
        <v>6</v>
      </c>
      <c r="V24" s="501" t="n">
        <f aca="false">IF(ISERROR(S24*K24),0,S24*K24)</f>
        <v>1</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195</v>
      </c>
      <c r="B25" s="490" t="n">
        <v>0.7</v>
      </c>
      <c r="C25" s="491" t="n">
        <v>0.05</v>
      </c>
      <c r="D25" s="492" t="str">
        <f aca="false">IF(ISERROR(VLOOKUP($A25,'liste reference'!$A$6:$B$1174,2,0)),IF(ISERROR(VLOOKUP($A25,'liste reference'!$B$6:$B$1174,1,0)),"",VLOOKUP($A25,'liste reference'!$B$6:$B$1174,1,0)),VLOOKUP($A25,'liste reference'!$A$6:$B$1174,2,0))</f>
        <v>Hildenbrandia sp.</v>
      </c>
      <c r="E25" s="493" t="e">
        <f aca="false">IF(D25="",0,VLOOKUP(D25,D$22:D24,1,0))</f>
        <v>#N/A</v>
      </c>
      <c r="F25" s="494" t="n">
        <f aca="false">IF(AND(OR(A25="",A25="!!!!!!"),B25="",C25=""),"",IF(OR(AND(B25="",C25=""),ISERROR(C25+B25)),"!!!",($B25*$B$7+$C25*$C$7)/100))</f>
        <v>0.193</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15</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Hildenbrandia sp.</v>
      </c>
      <c r="M25" s="498"/>
      <c r="N25" s="498"/>
      <c r="O25" s="498"/>
      <c r="P25" s="499" t="s">
        <v>3450</v>
      </c>
      <c r="Q25" s="500" t="n">
        <f aca="false">IF(OR($A25="NEWCOD",$A25="!!!!!!"),IF(X25="","NoCod",X25),IF($A25="","",IF(ISERROR(VLOOKUP($A25,'liste reference'!$A$6:$H$1174,8,0)),IF(ISERROR(VLOOKUP($A25,'liste reference'!$B$6:$H$1174,7,0)),"",VLOOKUP($A25,'liste reference'!$B$6:$H$1174,7,0)),VLOOKUP($A25,'liste reference'!$A$6:$H$1174,8,0))))</f>
        <v>1157</v>
      </c>
      <c r="R25" s="484" t="n">
        <f aca="false">IF(ISTEXT(H25),"",(B25*$B$7/100)+(C25*$C$7/100))</f>
        <v>0.193</v>
      </c>
      <c r="S25" s="485" t="n">
        <f aca="false">IF(OR(ISTEXT(H25),R25=0),"",IF(R25&lt;0.1,1,IF(R25&lt;1,2,IF(R25&lt;10,3,IF(R25&lt;50,4,IF(R25&gt;=50,5,""))))))</f>
        <v>2</v>
      </c>
      <c r="T25" s="485" t="n">
        <f aca="false">IF(ISERROR(S25*J25),0,S25*J25)</f>
        <v>30</v>
      </c>
      <c r="U25" s="485" t="n">
        <f aca="false">IF(ISERROR(S25*J25*K25),0,S25*J25*K25)</f>
        <v>60</v>
      </c>
      <c r="V25" s="501" t="n">
        <f aca="false">IF(ISERROR(S25*K25),0,S25*K25)</f>
        <v>4</v>
      </c>
      <c r="W25" s="502"/>
      <c r="X25" s="503"/>
      <c r="Y25" s="488" t="str">
        <f aca="false">IF(AND(ISNUMBER(F25),OR(A25="",A25="!!!!!!")),"!!!!!!",IF(A25="new.cod","NEWCOD",IF(AND((Z25=""),ISTEXT(A25),A25&lt;&gt;"!!!!!!"),A25,IF(Z25="","",INDEX('liste reference'!$A$6:$A$1174,Z25)))))</f>
        <v>HILSPX</v>
      </c>
      <c r="Z25" s="470" t="n">
        <f aca="false">IF(ISERROR(MATCH(A25,'liste reference'!$A$6:$A$1174,0)),IF(ISERROR(MATCH(A25,'liste reference'!$B$6:$B$1174,0)),"",(MATCH(A25,'liste reference'!$B$6:$B$1174,0))),(MATCH(A25,'liste reference'!$A$6:$A$1174,0)))</f>
        <v>53</v>
      </c>
    </row>
    <row r="26" customFormat="false" ht="12.75" hidden="false" customHeight="false" outlineLevel="0" collapsed="false">
      <c r="A26" s="489" t="s">
        <v>300</v>
      </c>
      <c r="B26" s="490" t="n">
        <v>0.05</v>
      </c>
      <c r="C26" s="491" t="n">
        <v>0.05</v>
      </c>
      <c r="D26" s="492" t="str">
        <f aca="false">IF(ISERROR(VLOOKUP($A26,'liste reference'!$A$6:$B$1174,2,0)),IF(ISERROR(VLOOKUP($A26,'liste reference'!$B$6:$B$1174,1,0)),"",VLOOKUP($A26,'liste reference'!$B$6:$B$1174,1,0)),VLOOKUP($A26,'liste reference'!$A$6:$B$1174,2,0))</f>
        <v>Oedogonium sp.</v>
      </c>
      <c r="E26" s="493" t="e">
        <f aca="false">IF(D26="",0,VLOOKUP(D26,D$22:D25,1,0))</f>
        <v>#N/A</v>
      </c>
      <c r="F26" s="494" t="n">
        <f aca="false">IF(AND(OR(A26="",A26="!!!!!!"),B26="",C26=""),"",IF(OR(AND(B26="",C26=""),ISERROR(C26+B26)),"!!!",($B26*$B$7+$C26*$C$7)/100))</f>
        <v>0.05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Oedogonium sp.</v>
      </c>
      <c r="M26" s="498"/>
      <c r="N26" s="498"/>
      <c r="O26" s="498"/>
      <c r="P26" s="499" t="s">
        <v>3450</v>
      </c>
      <c r="Q26" s="500" t="n">
        <f aca="false">IF(OR($A26="NEWCOD",$A26="!!!!!!"),IF(X26="","NoCod",X26),IF($A26="","",IF(ISERROR(VLOOKUP($A26,'liste reference'!$A$6:$H$1174,8,0)),IF(ISERROR(VLOOKUP($A26,'liste reference'!$B$6:$H$1174,7,0)),"",VLOOKUP($A26,'liste reference'!$B$6:$H$1174,7,0)),VLOOKUP($A26,'liste reference'!$A$6:$H$1174,8,0))))</f>
        <v>1134</v>
      </c>
      <c r="R26" s="484" t="n">
        <f aca="false">IF(ISTEXT(H26),"",(B26*$B$7/100)+(C26*$C$7/100))</f>
        <v>0.05</v>
      </c>
      <c r="S26" s="485" t="n">
        <f aca="false">IF(OR(ISTEXT(H26),R26=0),"",IF(R26&lt;0.1,1,IF(R26&lt;1,2,IF(R26&lt;10,3,IF(R26&lt;50,4,IF(R26&gt;=50,5,""))))))</f>
        <v>1</v>
      </c>
      <c r="T26" s="485" t="n">
        <f aca="false">IF(ISERROR(S26*J26),0,S26*J26)</f>
        <v>6</v>
      </c>
      <c r="U26" s="485" t="n">
        <f aca="false">IF(ISERROR(S26*J26*K26),0,S26*J26*K26)</f>
        <v>12</v>
      </c>
      <c r="V26" s="501" t="n">
        <f aca="false">IF(ISERROR(S26*K26),0,S26*K26)</f>
        <v>2</v>
      </c>
      <c r="W26" s="502"/>
      <c r="X26" s="503"/>
      <c r="Y26" s="488" t="str">
        <f aca="false">IF(AND(ISNUMBER(F26),OR(A26="",A26="!!!!!!")),"!!!!!!",IF(A26="new.cod","NEWCOD",IF(AND((Z26=""),ISTEXT(A26),A26&lt;&gt;"!!!!!!"),A26,IF(Z26="","",INDEX('liste reference'!$A$6:$A$1174,Z26)))))</f>
        <v>OEDSPX</v>
      </c>
      <c r="Z26" s="470" t="n">
        <f aca="false">IF(ISERROR(MATCH(A26,'liste reference'!$A$6:$A$1174,0)),IF(ISERROR(MATCH(A26,'liste reference'!$B$6:$B$1174,0)),"",(MATCH(A26,'liste reference'!$B$6:$B$1174,0))),(MATCH(A26,'liste reference'!$A$6:$A$1174,0)))</f>
        <v>85</v>
      </c>
    </row>
    <row r="27" customFormat="false" ht="12.75" hidden="false" customHeight="false" outlineLevel="0" collapsed="false">
      <c r="A27" s="489" t="s">
        <v>306</v>
      </c>
      <c r="B27" s="490" t="n">
        <v>0.05</v>
      </c>
      <c r="C27" s="491"/>
      <c r="D27" s="492" t="str">
        <f aca="false">IF(ISERROR(VLOOKUP($A27,'liste reference'!$A$6:$B$1174,2,0)),IF(ISERROR(VLOOKUP($A27,'liste reference'!$B$6:$B$1174,1,0)),"",VLOOKUP($A27,'liste reference'!$B$6:$B$1174,1,0)),VLOOKUP($A27,'liste reference'!$A$6:$B$1174,2,0))</f>
        <v>Paralemanea sp.</v>
      </c>
      <c r="E27" s="493" t="e">
        <f aca="false">IF(D27="",0,VLOOKUP(D27,D$22:D26,1,0))</f>
        <v>#N/A</v>
      </c>
      <c r="F27" s="494" t="n">
        <f aca="false">IF(AND(OR(A27="",A27="!!!!!!"),B27="",C27=""),"",IF(OR(AND(B27="",C27=""),ISERROR(C27+B27)),"!!!",($B27*$B$7+$C27*$C$7)/100))</f>
        <v>0.011</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str">
        <f aca="false">IF(ISNUMBER($H27),IF(ISERROR(VLOOKUP($A27,'liste reference'!$A$6:$Q$1174,6,0)),IF(ISERROR(VLOOKUP($A27,'liste reference'!$B$6:$Q$1174,5,0)),"nu",VLOOKUP($A27,'liste reference'!$B$6:$Q$1174,5,0)),VLOOKUP($A27,'liste reference'!$A$6:$Q$1174,6,0)),"nu")</f>
        <v>nc</v>
      </c>
      <c r="K27" s="497" t="str">
        <f aca="false">IF(ISNUMBER($H27),IF(ISERROR(VLOOKUP($A27,'liste reference'!$A$6:$Q$1174,7,0)),IF(ISERROR(VLOOKUP($A27,'liste reference'!$B$6:$Q$1174,6,0)),"nu",VLOOKUP($A27,'liste reference'!$B$6:$Q$1174,6,0)),VLOOKUP($A27,'liste reference'!$A$6:$Q$1174,7,0)),"nu")</f>
        <v>nc</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Paralemanea sp.</v>
      </c>
      <c r="M27" s="498"/>
      <c r="N27" s="498"/>
      <c r="O27" s="498"/>
      <c r="P27" s="499" t="s">
        <v>3450</v>
      </c>
      <c r="Q27" s="500" t="n">
        <f aca="false">IF(OR($A27="NEWCOD",$A27="!!!!!!"),IF(X27="","NoCod",X27),IF($A27="","",IF(ISERROR(VLOOKUP($A27,'liste reference'!$A$6:$H$1174,8,0)),IF(ISERROR(VLOOKUP($A27,'liste reference'!$B$6:$H$1174,7,0)),"",VLOOKUP($A27,'liste reference'!$B$6:$H$1174,7,0)),VLOOKUP($A27,'liste reference'!$A$6:$H$1174,8,0))))</f>
        <v>31566</v>
      </c>
      <c r="R27" s="484" t="n">
        <f aca="false">IF(ISTEXT(H27),"",(B27*$B$7/100)+(C27*$C$7/100))</f>
        <v>0.011</v>
      </c>
      <c r="S27" s="485" t="n">
        <f aca="false">IF(OR(ISTEXT(H27),R27=0),"",IF(R27&lt;0.1,1,IF(R27&lt;1,2,IF(R27&lt;10,3,IF(R27&lt;50,4,IF(R27&gt;=50,5,""))))))</f>
        <v>1</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PAASPX</v>
      </c>
      <c r="Z27" s="470" t="n">
        <f aca="false">IF(ISERROR(MATCH(A27,'liste reference'!$A$6:$A$1174,0)),IF(ISERROR(MATCH(A27,'liste reference'!$B$6:$B$1174,0)),"",(MATCH(A27,'liste reference'!$B$6:$B$1174,0))),(MATCH(A27,'liste reference'!$A$6:$A$1174,0)))</f>
        <v>87</v>
      </c>
    </row>
    <row r="28" customFormat="false" ht="12.75" hidden="false" customHeight="false" outlineLevel="0" collapsed="false">
      <c r="A28" s="489" t="s">
        <v>395</v>
      </c>
      <c r="B28" s="490" t="n">
        <v>0.05</v>
      </c>
      <c r="C28" s="491" t="n">
        <v>0.05</v>
      </c>
      <c r="D28" s="492" t="str">
        <f aca="false">IF(ISERROR(VLOOKUP($A28,'liste reference'!$A$6:$B$1174,2,0)),IF(ISERROR(VLOOKUP($A28,'liste reference'!$B$6:$B$1174,1,0)),"",VLOOKUP($A28,'liste reference'!$B$6:$B$1174,1,0)),VLOOKUP($A28,'liste reference'!$A$6:$B$1174,2,0))</f>
        <v>Vaucheria sp.</v>
      </c>
      <c r="E28" s="493" t="e">
        <f aca="false">IF(D28="",0,VLOOKUP(D28,D$22:D27,1,0))</f>
        <v>#N/A</v>
      </c>
      <c r="F28" s="494" t="n">
        <f aca="false">IF(AND(OR(A28="",A28="!!!!!!"),B28="",C28=""),"",IF(OR(AND(B28="",C28=""),ISERROR(C28+B28)),"!!!",($B28*$B$7+$C28*$C$7)/100))</f>
        <v>0.05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4</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Vaucheria sp.</v>
      </c>
      <c r="M28" s="498"/>
      <c r="N28" s="498"/>
      <c r="O28" s="498"/>
      <c r="P28" s="499" t="s">
        <v>3450</v>
      </c>
      <c r="Q28" s="500" t="n">
        <f aca="false">IF(OR($A28="NEWCOD",$A28="!!!!!!"),IF(X28="","NoCod",X28),IF($A28="","",IF(ISERROR(VLOOKUP($A28,'liste reference'!$A$6:$H$1174,8,0)),IF(ISERROR(VLOOKUP($A28,'liste reference'!$B$6:$H$1174,7,0)),"",VLOOKUP($A28,'liste reference'!$B$6:$H$1174,7,0)),VLOOKUP($A28,'liste reference'!$A$6:$H$1174,8,0))))</f>
        <v>1169</v>
      </c>
      <c r="R28" s="484" t="n">
        <f aca="false">IF(ISTEXT(H28),"",(B28*$B$7/100)+(C28*$C$7/100))</f>
        <v>0.05</v>
      </c>
      <c r="S28" s="485" t="n">
        <f aca="false">IF(OR(ISTEXT(H28),R28=0),"",IF(R28&lt;0.1,1,IF(R28&lt;1,2,IF(R28&lt;10,3,IF(R28&lt;50,4,IF(R28&gt;=50,5,""))))))</f>
        <v>1</v>
      </c>
      <c r="T28" s="485" t="n">
        <f aca="false">IF(ISERROR(S28*J28),0,S28*J28)</f>
        <v>4</v>
      </c>
      <c r="U28" s="485" t="n">
        <f aca="false">IF(ISERROR(S28*J28*K28),0,S28*J28*K28)</f>
        <v>4</v>
      </c>
      <c r="V28" s="501" t="n">
        <f aca="false">IF(ISERROR(S28*K28),0,S28*K28)</f>
        <v>1</v>
      </c>
      <c r="W28" s="502"/>
      <c r="X28" s="503"/>
      <c r="Y28" s="488" t="str">
        <f aca="false">IF(AND(ISNUMBER(F28),OR(A28="",A28="!!!!!!")),"!!!!!!",IF(A28="new.cod","NEWCOD",IF(AND((Z28=""),ISTEXT(A28),A28&lt;&gt;"!!!!!!"),A28,IF(Z28="","",INDEX('liste reference'!$A$6:$A$1174,Z28)))))</f>
        <v>VAUSPX</v>
      </c>
      <c r="Z28" s="470" t="n">
        <f aca="false">IF(ISERROR(MATCH(A28,'liste reference'!$A$6:$A$1174,0)),IF(ISERROR(MATCH(A28,'liste reference'!$B$6:$B$1174,0)),"",(MATCH(A28,'liste reference'!$B$6:$B$1174,0))),(MATCH(A28,'liste reference'!$A$6:$A$1174,0)))</f>
        <v>118</v>
      </c>
    </row>
    <row r="29" customFormat="false" ht="12.75" hidden="false" customHeight="false" outlineLevel="0" collapsed="false">
      <c r="A29" s="489" t="s">
        <v>712</v>
      </c>
      <c r="B29" s="490" t="n">
        <v>0.5</v>
      </c>
      <c r="C29" s="491"/>
      <c r="D29" s="492" t="str">
        <f aca="false">IF(ISERROR(VLOOKUP($A29,'liste reference'!$A$6:$B$1174,2,0)),IF(ISERROR(VLOOKUP($A29,'liste reference'!$B$6:$B$1174,1,0)),"",VLOOKUP($A29,'liste reference'!$B$6:$B$1174,1,0)),VLOOKUP($A29,'liste reference'!$A$6:$B$1174,2,0))</f>
        <v>Cinclidotus riparius</v>
      </c>
      <c r="E29" s="493" t="e">
        <f aca="false">IF(D29="",0,VLOOKUP(D29,D$22:D28,1,0))</f>
        <v>#N/A</v>
      </c>
      <c r="F29" s="494" t="n">
        <f aca="false">IF(AND(OR(A29="",A29="!!!!!!"),B29="",C29=""),"",IF(OR(AND(B29="",C29=""),ISERROR(C29+B29)),"!!!",($B29*$B$7+$C29*$C$7)/100))</f>
        <v>0.11</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Cinclidotus riparius</v>
      </c>
      <c r="M29" s="498"/>
      <c r="N29" s="498"/>
      <c r="O29" s="498"/>
      <c r="P29" s="499" t="s">
        <v>3450</v>
      </c>
      <c r="Q29" s="500" t="n">
        <f aca="false">IF(OR($A29="NEWCOD",$A29="!!!!!!"),IF(X29="","NoCod",X29),IF($A29="","",IF(ISERROR(VLOOKUP($A29,'liste reference'!$A$6:$H$1174,8,0)),IF(ISERROR(VLOOKUP($A29,'liste reference'!$B$6:$H$1174,7,0)),"",VLOOKUP($A29,'liste reference'!$B$6:$H$1174,7,0)),VLOOKUP($A29,'liste reference'!$A$6:$H$1174,8,0))))</f>
        <v>1321</v>
      </c>
      <c r="R29" s="484" t="n">
        <f aca="false">IF(ISTEXT(H29),"",(B29*$B$7/100)+(C29*$C$7/100))</f>
        <v>0.11</v>
      </c>
      <c r="S29" s="485" t="n">
        <f aca="false">IF(OR(ISTEXT(H29),R29=0),"",IF(R29&lt;0.1,1,IF(R29&lt;1,2,IF(R29&lt;10,3,IF(R29&lt;50,4,IF(R29&gt;=50,5,""))))))</f>
        <v>2</v>
      </c>
      <c r="T29" s="485" t="n">
        <f aca="false">IF(ISERROR(S29*J29),0,S29*J29)</f>
        <v>26</v>
      </c>
      <c r="U29" s="485" t="n">
        <f aca="false">IF(ISERROR(S29*J29*K29),0,S29*J29*K29)</f>
        <v>52</v>
      </c>
      <c r="V29" s="501" t="n">
        <f aca="false">IF(ISERROR(S29*K29),0,S29*K29)</f>
        <v>4</v>
      </c>
      <c r="W29" s="502"/>
      <c r="X29" s="503"/>
      <c r="Y29" s="488" t="str">
        <f aca="false">IF(AND(ISNUMBER(F29),OR(A29="",A29="!!!!!!")),"!!!!!!",IF(A29="new.cod","NEWCOD",IF(AND((Z29=""),ISTEXT(A29),A29&lt;&gt;"!!!!!!"),A29,IF(Z29="","",INDEX('liste reference'!$A$6:$A$1174,Z29)))))</f>
        <v>CINRIP</v>
      </c>
      <c r="Z29" s="470" t="n">
        <f aca="false">IF(ISERROR(MATCH(A29,'liste reference'!$A$6:$A$1174,0)),IF(ISERROR(MATCH(A29,'liste reference'!$B$6:$B$1174,0)),"",(MATCH(A29,'liste reference'!$B$6:$B$1174,0))),(MATCH(A29,'liste reference'!$A$6:$A$1174,0)))</f>
        <v>224</v>
      </c>
    </row>
    <row r="30" customFormat="false" ht="12.75" hidden="false" customHeight="false" outlineLevel="0" collapsed="false">
      <c r="A30" s="489" t="s">
        <v>830</v>
      </c>
      <c r="B30" s="490" t="n">
        <v>0.5</v>
      </c>
      <c r="C30" s="491" t="n">
        <v>0.05</v>
      </c>
      <c r="D30" s="492" t="str">
        <f aca="false">IF(ISERROR(VLOOKUP($A30,'liste reference'!$A$6:$B$1174,2,0)),IF(ISERROR(VLOOKUP($A30,'liste reference'!$B$6:$B$1174,1,0)),"",VLOOKUP($A30,'liste reference'!$B$6:$B$1174,1,0)),VLOOKUP($A30,'liste reference'!$A$6:$B$1174,2,0))</f>
        <v>Fissidens crassipes</v>
      </c>
      <c r="E30" s="493" t="e">
        <f aca="false">IF(D30="",0,VLOOKUP(D30,D$22:D29,1,0))</f>
        <v>#N/A</v>
      </c>
      <c r="F30" s="494" t="n">
        <f aca="false">IF(AND(OR(A30="",A30="!!!!!!"),B30="",C30=""),"",IF(OR(AND(B30="",C30=""),ISERROR(C30+B30)),"!!!",($B30*$B$7+$C30*$C$7)/100))</f>
        <v>0.149</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12</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Fissidens crassipes</v>
      </c>
      <c r="M30" s="498"/>
      <c r="N30" s="498"/>
      <c r="O30" s="498"/>
      <c r="P30" s="499" t="s">
        <v>3450</v>
      </c>
      <c r="Q30" s="500" t="n">
        <f aca="false">IF(OR($A30="NEWCOD",$A30="!!!!!!"),IF(X30="","NoCod",X30),IF($A30="","",IF(ISERROR(VLOOKUP($A30,'liste reference'!$A$6:$H$1174,8,0)),IF(ISERROR(VLOOKUP($A30,'liste reference'!$B$6:$H$1174,7,0)),"",VLOOKUP($A30,'liste reference'!$B$6:$H$1174,7,0)),VLOOKUP($A30,'liste reference'!$A$6:$H$1174,8,0))))</f>
        <v>1294</v>
      </c>
      <c r="R30" s="484" t="n">
        <f aca="false">IF(ISTEXT(H30),"",(B30*$B$7/100)+(C30*$C$7/100))</f>
        <v>0.149</v>
      </c>
      <c r="S30" s="485" t="n">
        <f aca="false">IF(OR(ISTEXT(H30),R30=0),"",IF(R30&lt;0.1,1,IF(R30&lt;1,2,IF(R30&lt;10,3,IF(R30&lt;50,4,IF(R30&gt;=50,5,""))))))</f>
        <v>2</v>
      </c>
      <c r="T30" s="485" t="n">
        <f aca="false">IF(ISERROR(S30*J30),0,S30*J30)</f>
        <v>24</v>
      </c>
      <c r="U30" s="485" t="n">
        <f aca="false">IF(ISERROR(S30*J30*K30),0,S30*J30*K30)</f>
        <v>48</v>
      </c>
      <c r="V30" s="501" t="n">
        <f aca="false">IF(ISERROR(S30*K30),0,S30*K30)</f>
        <v>4</v>
      </c>
      <c r="W30" s="502"/>
      <c r="X30" s="503"/>
      <c r="Y30" s="488" t="str">
        <f aca="false">IF(AND(ISNUMBER(F30),OR(A30="",A30="!!!!!!")),"!!!!!!",IF(A30="new.cod","NEWCOD",IF(AND((Z30=""),ISTEXT(A30),A30&lt;&gt;"!!!!!!"),A30,IF(Z30="","",INDEX('liste reference'!$A$6:$A$1174,Z30)))))</f>
        <v>FISCRA</v>
      </c>
      <c r="Z30" s="470" t="n">
        <f aca="false">IF(ISERROR(MATCH(A30,'liste reference'!$A$6:$A$1174,0)),IF(ISERROR(MATCH(A30,'liste reference'!$B$6:$B$1174,0)),"",(MATCH(A30,'liste reference'!$B$6:$B$1174,0))),(MATCH(A30,'liste reference'!$A$6:$A$1174,0)))</f>
        <v>255</v>
      </c>
    </row>
    <row r="31" customFormat="false" ht="12.75" hidden="false" customHeight="false" outlineLevel="0" collapsed="false">
      <c r="A31" s="489" t="s">
        <v>889</v>
      </c>
      <c r="B31" s="490" t="n">
        <v>1</v>
      </c>
      <c r="C31" s="491" t="n">
        <v>0.5</v>
      </c>
      <c r="D31" s="492" t="str">
        <f aca="false">IF(ISERROR(VLOOKUP($A31,'liste reference'!$A$6:$B$1174,2,0)),IF(ISERROR(VLOOKUP($A31,'liste reference'!$B$6:$B$1174,1,0)),"",VLOOKUP($A31,'liste reference'!$B$6:$B$1174,1,0)),VLOOKUP($A31,'liste reference'!$A$6:$B$1174,2,0))</f>
        <v>Fontinalis antipyretica</v>
      </c>
      <c r="E31" s="493" t="e">
        <f aca="false">IF(D31="",0,VLOOKUP(D31,D$22:D30,1,0))</f>
        <v>#N/A</v>
      </c>
      <c r="F31" s="494" t="n">
        <f aca="false">IF(AND(OR(A31="",A31="!!!!!!"),B31="",C31=""),"",IF(OR(AND(B31="",C31=""),ISERROR(C31+B31)),"!!!",($B31*$B$7+$C31*$C$7)/100))</f>
        <v>0.61</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10</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Fontinalis antipyretica</v>
      </c>
      <c r="M31" s="498"/>
      <c r="N31" s="498"/>
      <c r="O31" s="498"/>
      <c r="P31" s="499" t="s">
        <v>3450</v>
      </c>
      <c r="Q31" s="500" t="n">
        <f aca="false">IF(OR($A31="NEWCOD",$A31="!!!!!!"),IF(X31="","NoCod",X31),IF($A31="","",IF(ISERROR(VLOOKUP($A31,'liste reference'!$A$6:$H$1174,8,0)),IF(ISERROR(VLOOKUP($A31,'liste reference'!$B$6:$H$1174,7,0)),"",VLOOKUP($A31,'liste reference'!$B$6:$H$1174,7,0)),VLOOKUP($A31,'liste reference'!$A$6:$H$1174,8,0))))</f>
        <v>1310</v>
      </c>
      <c r="R31" s="484" t="n">
        <f aca="false">IF(ISTEXT(H31),"",(B31*$B$7/100)+(C31*$C$7/100))</f>
        <v>0.61</v>
      </c>
      <c r="S31" s="485" t="n">
        <f aca="false">IF(OR(ISTEXT(H31),R31=0),"",IF(R31&lt;0.1,1,IF(R31&lt;1,2,IF(R31&lt;10,3,IF(R31&lt;50,4,IF(R31&gt;=50,5,""))))))</f>
        <v>2</v>
      </c>
      <c r="T31" s="485" t="n">
        <f aca="false">IF(ISERROR(S31*J31),0,S31*J31)</f>
        <v>20</v>
      </c>
      <c r="U31" s="485" t="n">
        <f aca="false">IF(ISERROR(S31*J31*K31),0,S31*J31*K31)</f>
        <v>20</v>
      </c>
      <c r="V31" s="501" t="n">
        <f aca="false">IF(ISERROR(S31*K31),0,S31*K31)</f>
        <v>2</v>
      </c>
      <c r="W31" s="502"/>
      <c r="X31" s="503"/>
      <c r="Y31" s="488" t="str">
        <f aca="false">IF(AND(ISNUMBER(F31),OR(A31="",A31="!!!!!!")),"!!!!!!",IF(A31="new.cod","NEWCOD",IF(AND((Z31=""),ISTEXT(A31),A31&lt;&gt;"!!!!!!"),A31,IF(Z31="","",INDEX('liste reference'!$A$6:$A$1174,Z31)))))</f>
        <v>FONANT</v>
      </c>
      <c r="Z31" s="470" t="n">
        <f aca="false">IF(ISERROR(MATCH(A31,'liste reference'!$A$6:$A$1174,0)),IF(ISERROR(MATCH(A31,'liste reference'!$B$6:$B$1174,0)),"",(MATCH(A31,'liste reference'!$B$6:$B$1174,0))),(MATCH(A31,'liste reference'!$A$6:$A$1174,0)))</f>
        <v>273</v>
      </c>
    </row>
    <row r="32" customFormat="false" ht="12.75" hidden="false" customHeight="false" outlineLevel="0" collapsed="false">
      <c r="A32" s="489" t="s">
        <v>974</v>
      </c>
      <c r="B32" s="490" t="n">
        <v>0.05</v>
      </c>
      <c r="C32" s="491"/>
      <c r="D32" s="492" t="str">
        <f aca="false">IF(ISERROR(VLOOKUP($A32,'liste reference'!$A$6:$B$1174,2,0)),IF(ISERROR(VLOOKUP($A32,'liste reference'!$B$6:$B$1174,1,0)),"",VLOOKUP($A32,'liste reference'!$B$6:$B$1174,1,0)),VLOOKUP($A32,'liste reference'!$A$6:$B$1174,2,0))</f>
        <v>Leptodictyum riparium </v>
      </c>
      <c r="E32" s="493" t="e">
        <f aca="false">IF(D32="",0,VLOOKUP(D32,D$22:D31,1,0))</f>
        <v>#N/A</v>
      </c>
      <c r="F32" s="494" t="n">
        <f aca="false">IF(AND(OR(A32="",A32="!!!!!!"),B32="",C32=""),"",IF(OR(AND(B32="",C32=""),ISERROR(C32+B32)),"!!!",($B32*$B$7+$C32*$C$7)/100))</f>
        <v>0.011</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5</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Leptodictyum riparium </v>
      </c>
      <c r="M32" s="498"/>
      <c r="N32" s="498"/>
      <c r="O32" s="498"/>
      <c r="P32" s="499" t="s">
        <v>3450</v>
      </c>
      <c r="Q32" s="500" t="n">
        <f aca="false">IF(OR($A32="NEWCOD",$A32="!!!!!!"),IF(X32="","NoCod",X32),IF($A32="","",IF(ISERROR(VLOOKUP($A32,'liste reference'!$A$6:$H$1174,8,0)),IF(ISERROR(VLOOKUP($A32,'liste reference'!$B$6:$H$1174,7,0)),"",VLOOKUP($A32,'liste reference'!$B$6:$H$1174,7,0)),VLOOKUP($A32,'liste reference'!$A$6:$H$1174,8,0))))</f>
        <v>1244</v>
      </c>
      <c r="R32" s="484" t="n">
        <f aca="false">IF(ISTEXT(H32),"",(B32*$B$7/100)+(C32*$C$7/100))</f>
        <v>0.011</v>
      </c>
      <c r="S32" s="485" t="n">
        <f aca="false">IF(OR(ISTEXT(H32),R32=0),"",IF(R32&lt;0.1,1,IF(R32&lt;1,2,IF(R32&lt;10,3,IF(R32&lt;50,4,IF(R32&gt;=50,5,""))))))</f>
        <v>1</v>
      </c>
      <c r="T32" s="485" t="n">
        <f aca="false">IF(ISERROR(S32*J32),0,S32*J32)</f>
        <v>5</v>
      </c>
      <c r="U32" s="485" t="n">
        <f aca="false">IF(ISERROR(S32*J32*K32),0,S32*J32*K32)</f>
        <v>10</v>
      </c>
      <c r="V32" s="501" t="n">
        <f aca="false">IF(ISERROR(S32*K32),0,S32*K32)</f>
        <v>2</v>
      </c>
      <c r="W32" s="502"/>
      <c r="X32" s="503"/>
      <c r="Y32" s="488" t="str">
        <f aca="false">IF(AND(ISNUMBER(F32),OR(A32="",A32="!!!!!!")),"!!!!!!",IF(A32="new.cod","NEWCOD",IF(AND((Z32=""),ISTEXT(A32),A32&lt;&gt;"!!!!!!"),A32,IF(Z32="","",INDEX('liste reference'!$A$6:$A$1174,Z32)))))</f>
        <v>LEORIP</v>
      </c>
      <c r="Z32" s="470" t="n">
        <f aca="false">IF(ISERROR(MATCH(A32,'liste reference'!$A$6:$A$1174,0)),IF(ISERROR(MATCH(A32,'liste reference'!$B$6:$B$1174,0)),"",(MATCH(A32,'liste reference'!$B$6:$B$1174,0))),(MATCH(A32,'liste reference'!$A$6:$A$1174,0)))</f>
        <v>298</v>
      </c>
    </row>
    <row r="33" customFormat="false" ht="12.75" hidden="false" customHeight="false" outlineLevel="0" collapsed="false">
      <c r="A33" s="489" t="s">
        <v>1004</v>
      </c>
      <c r="B33" s="490"/>
      <c r="C33" s="491" t="n">
        <v>0.05</v>
      </c>
      <c r="D33" s="492" t="str">
        <f aca="false">IF(ISERROR(VLOOKUP($A33,'liste reference'!$A$6:$B$1174,2,0)),IF(ISERROR(VLOOKUP($A33,'liste reference'!$B$6:$B$1174,1,0)),"",VLOOKUP($A33,'liste reference'!$B$6:$B$1174,1,0)),VLOOKUP($A33,'liste reference'!$A$6:$B$1174,2,0))</f>
        <v>Oxyrrhynchium speciosum </v>
      </c>
      <c r="E33" s="493" t="e">
        <f aca="false">IF(D33="",0,VLOOKUP(D33,D$22:D32,1,0))</f>
        <v>#N/A</v>
      </c>
      <c r="F33" s="494" t="n">
        <f aca="false">IF(AND(OR(A33="",A33="!!!!!!"),B33="",C33=""),"",IF(OR(AND(B33="",C33=""),ISERROR(C33+B33)),"!!!",($B33*$B$7+$C33*$C$7)/100))</f>
        <v>0.039</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Oxyrrhynchium speciosum </v>
      </c>
      <c r="M33" s="498"/>
      <c r="N33" s="498"/>
      <c r="O33" s="498"/>
      <c r="P33" s="499" t="s">
        <v>3451</v>
      </c>
      <c r="Q33" s="500" t="n">
        <f aca="false">IF(OR($A33="NEWCOD",$A33="!!!!!!"),IF(X33="","NoCod",X33),IF($A33="","",IF(ISERROR(VLOOKUP($A33,'liste reference'!$A$6:$H$1174,8,0)),IF(ISERROR(VLOOKUP($A33,'liste reference'!$B$6:$H$1174,7,0)),"",VLOOKUP($A33,'liste reference'!$B$6:$H$1174,7,0)),VLOOKUP($A33,'liste reference'!$A$6:$H$1174,8,0))))</f>
        <v>30099</v>
      </c>
      <c r="R33" s="484" t="n">
        <f aca="false">IF(ISTEXT(H33),"",(B33*$B$7/100)+(C33*$C$7/100))</f>
        <v>0.039</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OXYSPE</v>
      </c>
      <c r="Z33" s="470" t="n">
        <f aca="false">IF(ISERROR(MATCH(A33,'liste reference'!$A$6:$A$1174,0)),IF(ISERROR(MATCH(A33,'liste reference'!$B$6:$B$1174,0)),"",(MATCH(A33,'liste reference'!$B$6:$B$1174,0))),(MATCH(A33,'liste reference'!$A$6:$A$1174,0)))</f>
        <v>308</v>
      </c>
    </row>
    <row r="34" customFormat="false" ht="12.75" hidden="false" customHeight="false" outlineLevel="0" collapsed="false">
      <c r="A34" s="489" t="s">
        <v>1122</v>
      </c>
      <c r="B34" s="490" t="n">
        <v>0.05</v>
      </c>
      <c r="C34" s="491"/>
      <c r="D34" s="492" t="str">
        <f aca="false">IF(ISERROR(VLOOKUP($A34,'liste reference'!$A$6:$B$1174,2,0)),IF(ISERROR(VLOOKUP($A34,'liste reference'!$B$6:$B$1174,1,0)),"",VLOOKUP($A34,'liste reference'!$B$6:$B$1174,1,0)),VLOOKUP($A34,'liste reference'!$A$6:$B$1174,2,0))</f>
        <v>Rhynchostegium riparioides</v>
      </c>
      <c r="E34" s="493" t="e">
        <f aca="false">IF(D34="",0,VLOOKUP(D34,D$22:D33,1,0))</f>
        <v>#N/A</v>
      </c>
      <c r="F34" s="494" t="n">
        <f aca="false">IF(AND(OR(A34="",A34="!!!!!!"),B34="",C34=""),"",IF(OR(AND(B34="",C34=""),ISERROR(C34+B34)),"!!!",($B34*$B$7+$C34*$C$7)/100))</f>
        <v>0.011</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12</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Rhynchostegium riparioides</v>
      </c>
      <c r="M34" s="498"/>
      <c r="N34" s="498"/>
      <c r="O34" s="498"/>
      <c r="P34" s="499" t="s">
        <v>3450</v>
      </c>
      <c r="Q34" s="500" t="n">
        <f aca="false">IF(OR($A34="NEWCOD",$A34="!!!!!!"),IF(X34="","NoCod",X34),IF($A34="","",IF(ISERROR(VLOOKUP($A34,'liste reference'!$A$6:$H$1174,8,0)),IF(ISERROR(VLOOKUP($A34,'liste reference'!$B$6:$H$1174,7,0)),"",VLOOKUP($A34,'liste reference'!$B$6:$H$1174,7,0)),VLOOKUP($A34,'liste reference'!$A$6:$H$1174,8,0))))</f>
        <v>31691</v>
      </c>
      <c r="R34" s="484" t="n">
        <f aca="false">IF(ISTEXT(H34),"",(B34*$B$7/100)+(C34*$C$7/100))</f>
        <v>0.011</v>
      </c>
      <c r="S34" s="485" t="n">
        <f aca="false">IF(OR(ISTEXT(H34),R34=0),"",IF(R34&lt;0.1,1,IF(R34&lt;1,2,IF(R34&lt;10,3,IF(R34&lt;50,4,IF(R34&gt;=50,5,""))))))</f>
        <v>1</v>
      </c>
      <c r="T34" s="485" t="n">
        <f aca="false">IF(ISERROR(S34*J34),0,S34*J34)</f>
        <v>12</v>
      </c>
      <c r="U34" s="485" t="n">
        <f aca="false">IF(ISERROR(S34*J34*K34),0,S34*J34*K34)</f>
        <v>12</v>
      </c>
      <c r="V34" s="501" t="n">
        <f aca="false">IF(ISERROR(S34*K34),0,S34*K34)</f>
        <v>1</v>
      </c>
      <c r="W34" s="502"/>
      <c r="X34" s="503"/>
      <c r="Y34" s="488" t="str">
        <f aca="false">IF(AND(ISNUMBER(F34),OR(A34="",A34="!!!!!!")),"!!!!!!",IF(A34="new.cod","NEWCOD",IF(AND((Z34=""),ISTEXT(A34),A34&lt;&gt;"!!!!!!"),A34,IF(Z34="","",INDEX('liste reference'!$A$6:$A$1174,Z34)))))</f>
        <v>RHYRIP</v>
      </c>
      <c r="Z34" s="470" t="n">
        <f aca="false">IF(ISERROR(MATCH(A34,'liste reference'!$A$6:$A$1174,0)),IF(ISERROR(MATCH(A34,'liste reference'!$B$6:$B$1174,0)),"",(MATCH(A34,'liste reference'!$B$6:$B$1174,0))),(MATCH(A34,'liste reference'!$A$6:$A$1174,0)))</f>
        <v>345</v>
      </c>
    </row>
    <row r="35" customFormat="false" ht="12.75" hidden="false" customHeight="false" outlineLevel="0" collapsed="false">
      <c r="A35" s="489" t="s">
        <v>1456</v>
      </c>
      <c r="B35" s="490"/>
      <c r="C35" s="491" t="n">
        <v>0.05</v>
      </c>
      <c r="D35" s="492" t="str">
        <f aca="false">IF(ISERROR(VLOOKUP($A35,'liste reference'!$A$6:$B$1174,2,0)),IF(ISERROR(VLOOKUP($A35,'liste reference'!$B$6:$B$1174,1,0)),"",VLOOKUP($A35,'liste reference'!$B$6:$B$1174,1,0)),VLOOKUP($A35,'liste reference'!$A$6:$B$1174,2,0))</f>
        <v>Elodea canadensis</v>
      </c>
      <c r="E35" s="493" t="e">
        <f aca="false">IF(D35="",0,VLOOKUP(D35,D$22:D34,1,0))</f>
        <v>#N/A</v>
      </c>
      <c r="F35" s="494" t="n">
        <f aca="false">IF(AND(OR(A35="",A35="!!!!!!"),B35="",C35=""),"",IF(OR(AND(B35="",C35=""),ISERROR(C35+B35)),"!!!",($B35*$B$7+$C35*$C$7)/100))</f>
        <v>0.039</v>
      </c>
      <c r="G35" s="495" t="str">
        <f aca="false">IF(A35="","",IF(ISERROR(VLOOKUP($A35,'liste reference'!$A$6:$Q$1174,9,0)),IF(ISERROR(VLOOKUP($A35,'liste reference'!$B$6:$Q$1174,8,0)),"    -",VLOOKUP($A35,'liste reference'!$B$6:$Q$1174,8,0)),VLOOKUP($A35,'liste reference'!$A$6:$Q$1174,9,0)))</f>
        <v>PHy</v>
      </c>
      <c r="H35" s="496" t="n">
        <f aca="false">IF(A35="","x",IF(ISERROR(VLOOKUP($A35,'liste reference'!$A$6:$Q$1174,10,0)),IF(ISERROR(VLOOKUP($A35,'liste reference'!$B$6:$Q$1174,9,0)),"x",VLOOKUP($A35,'liste reference'!$B$6:$Q$1174,9,0)),VLOOKUP($A35,'liste reference'!$A$6:$Q$1174,10,0)))</f>
        <v>7</v>
      </c>
      <c r="I35" s="281" t="n">
        <f aca="false">IF(A35="","",1)</f>
        <v>1</v>
      </c>
      <c r="J35" s="497" t="n">
        <f aca="false">IF(ISNUMBER($H35),IF(ISERROR(VLOOKUP($A35,'liste reference'!$A$6:$Q$1174,6,0)),IF(ISERROR(VLOOKUP($A35,'liste reference'!$B$6:$Q$1174,5,0)),"nu",VLOOKUP($A35,'liste reference'!$B$6:$Q$1174,5,0)),VLOOKUP($A35,'liste reference'!$A$6:$Q$1174,6,0)),"nu")</f>
        <v>10</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Elodea canadensis</v>
      </c>
      <c r="M35" s="498"/>
      <c r="N35" s="498"/>
      <c r="O35" s="498"/>
      <c r="P35" s="499" t="s">
        <v>3450</v>
      </c>
      <c r="Q35" s="500" t="n">
        <f aca="false">IF(OR($A35="NEWCOD",$A35="!!!!!!"),IF(X35="","NoCod",X35),IF($A35="","",IF(ISERROR(VLOOKUP($A35,'liste reference'!$A$6:$H$1174,8,0)),IF(ISERROR(VLOOKUP($A35,'liste reference'!$B$6:$H$1174,7,0)),"",VLOOKUP($A35,'liste reference'!$B$6:$H$1174,7,0)),VLOOKUP($A35,'liste reference'!$A$6:$H$1174,8,0))))</f>
        <v>1586</v>
      </c>
      <c r="R35" s="484" t="n">
        <f aca="false">IF(ISTEXT(H35),"",(B35*$B$7/100)+(C35*$C$7/100))</f>
        <v>0.039</v>
      </c>
      <c r="S35" s="485" t="n">
        <f aca="false">IF(OR(ISTEXT(H35),R35=0),"",IF(R35&lt;0.1,1,IF(R35&lt;1,2,IF(R35&lt;10,3,IF(R35&lt;50,4,IF(R35&gt;=50,5,""))))))</f>
        <v>1</v>
      </c>
      <c r="T35" s="485" t="n">
        <f aca="false">IF(ISERROR(S35*J35),0,S35*J35)</f>
        <v>10</v>
      </c>
      <c r="U35" s="485" t="n">
        <f aca="false">IF(ISERROR(S35*J35*K35),0,S35*J35*K35)</f>
        <v>20</v>
      </c>
      <c r="V35" s="501" t="n">
        <f aca="false">IF(ISERROR(S35*K35),0,S35*K35)</f>
        <v>2</v>
      </c>
      <c r="W35" s="502"/>
      <c r="X35" s="503"/>
      <c r="Y35" s="488" t="str">
        <f aca="false">IF(AND(ISNUMBER(F35),OR(A35="",A35="!!!!!!")),"!!!!!!",IF(A35="new.cod","NEWCOD",IF(AND((Z35=""),ISTEXT(A35),A35&lt;&gt;"!!!!!!"),A35,IF(Z35="","",INDEX('liste reference'!$A$6:$A$1174,Z35)))))</f>
        <v>ELOCAN</v>
      </c>
      <c r="Z35" s="470" t="n">
        <f aca="false">IF(ISERROR(MATCH(A35,'liste reference'!$A$6:$A$1174,0)),IF(ISERROR(MATCH(A35,'liste reference'!$B$6:$B$1174,0)),"",(MATCH(A35,'liste reference'!$B$6:$B$1174,0))),(MATCH(A35,'liste reference'!$A$6:$A$1174,0)))</f>
        <v>453</v>
      </c>
    </row>
    <row r="36" customFormat="false" ht="12.75" hidden="false" customHeight="false" outlineLevel="0" collapsed="false">
      <c r="A36" s="489" t="s">
        <v>1932</v>
      </c>
      <c r="B36" s="490"/>
      <c r="C36" s="491" t="n">
        <v>0.05</v>
      </c>
      <c r="D36" s="492" t="str">
        <f aca="false">IF(ISERROR(VLOOKUP($A36,'liste reference'!$A$6:$B$1174,2,0)),IF(ISERROR(VLOOKUP($A36,'liste reference'!$B$6:$B$1174,1,0)),"",VLOOKUP($A36,'liste reference'!$B$6:$B$1174,1,0)),VLOOKUP($A36,'liste reference'!$A$6:$B$1174,2,0))</f>
        <v>Agrostis stolonifera</v>
      </c>
      <c r="E36" s="493" t="e">
        <f aca="false">IF(D36="",0,VLOOKUP(D36,D$22:D35,1,0))</f>
        <v>#N/A</v>
      </c>
      <c r="F36" s="494" t="n">
        <f aca="false">IF(AND(OR(A36="",A36="!!!!!!"),B36="",C36=""),"",IF(OR(AND(B36="",C36=""),ISERROR(C36+B36)),"!!!",($B36*$B$7+$C36*$C$7)/100))</f>
        <v>0.039</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8</v>
      </c>
      <c r="I36" s="281" t="n">
        <f aca="false">IF(A36="","",1)</f>
        <v>1</v>
      </c>
      <c r="J36" s="497" t="n">
        <f aca="false">IF(ISNUMBER($H36),IF(ISERROR(VLOOKUP($A36,'liste reference'!$A$6:$Q$1174,6,0)),IF(ISERROR(VLOOKUP($A36,'liste reference'!$B$6:$Q$1174,5,0)),"nu",VLOOKUP($A36,'liste reference'!$B$6:$Q$1174,5,0)),VLOOKUP($A36,'liste reference'!$A$6:$Q$1174,6,0)),"nu")</f>
        <v>10</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Agrostis stolonifera</v>
      </c>
      <c r="M36" s="498"/>
      <c r="N36" s="498"/>
      <c r="O36" s="498"/>
      <c r="P36" s="499" t="s">
        <v>3451</v>
      </c>
      <c r="Q36" s="500" t="n">
        <f aca="false">IF(OR($A36="NEWCOD",$A36="!!!!!!"),IF(X36="","NoCod",X36),IF($A36="","",IF(ISERROR(VLOOKUP($A36,'liste reference'!$A$6:$H$1174,8,0)),IF(ISERROR(VLOOKUP($A36,'liste reference'!$B$6:$H$1174,7,0)),"",VLOOKUP($A36,'liste reference'!$B$6:$H$1174,7,0)),VLOOKUP($A36,'liste reference'!$A$6:$H$1174,8,0))))</f>
        <v>1543</v>
      </c>
      <c r="R36" s="484" t="n">
        <f aca="false">IF(ISTEXT(H36),"",(B36*$B$7/100)+(C36*$C$7/100))</f>
        <v>0.039</v>
      </c>
      <c r="S36" s="485" t="n">
        <f aca="false">IF(OR(ISTEXT(H36),R36=0),"",IF(R36&lt;0.1,1,IF(R36&lt;1,2,IF(R36&lt;10,3,IF(R36&lt;50,4,IF(R36&gt;=50,5,""))))))</f>
        <v>1</v>
      </c>
      <c r="T36" s="485" t="n">
        <f aca="false">IF(ISERROR(S36*J36),0,S36*J36)</f>
        <v>10</v>
      </c>
      <c r="U36" s="485" t="n">
        <f aca="false">IF(ISERROR(S36*J36*K36),0,S36*J36*K36)</f>
        <v>10</v>
      </c>
      <c r="V36" s="501" t="n">
        <f aca="false">IF(ISERROR(S36*K36),0,S36*K36)</f>
        <v>1</v>
      </c>
      <c r="W36" s="502"/>
      <c r="X36" s="503"/>
      <c r="Y36" s="488" t="str">
        <f aca="false">IF(AND(ISNUMBER(F36),OR(A36="",A36="!!!!!!")),"!!!!!!",IF(A36="new.cod","NEWCOD",IF(AND((Z36=""),ISTEXT(A36),A36&lt;&gt;"!!!!!!"),A36,IF(Z36="","",INDEX('liste reference'!$A$6:$A$1174,Z36)))))</f>
        <v>AGRSTO</v>
      </c>
      <c r="Z36" s="470" t="n">
        <f aca="false">IF(ISERROR(MATCH(A36,'liste reference'!$A$6:$A$1174,0)),IF(ISERROR(MATCH(A36,'liste reference'!$B$6:$B$1174,0)),"",(MATCH(A36,'liste reference'!$B$6:$B$1174,0))),(MATCH(A36,'liste reference'!$A$6:$A$1174,0)))</f>
        <v>623</v>
      </c>
    </row>
    <row r="37" customFormat="false" ht="12.75" hidden="false" customHeight="false" outlineLevel="0" collapsed="false">
      <c r="A37" s="489" t="s">
        <v>2138</v>
      </c>
      <c r="B37" s="490"/>
      <c r="C37" s="491" t="n">
        <v>0.05</v>
      </c>
      <c r="D37" s="492" t="str">
        <f aca="false">IF(ISERROR(VLOOKUP($A37,'liste reference'!$A$6:$B$1174,2,0)),IF(ISERROR(VLOOKUP($A37,'liste reference'!$B$6:$B$1174,1,0)),"",VLOOKUP($A37,'liste reference'!$B$6:$B$1174,1,0)),VLOOKUP($A37,'liste reference'!$A$6:$B$1174,2,0))</f>
        <v>Mentha longifolia</v>
      </c>
      <c r="E37" s="493" t="e">
        <f aca="false">IF(D37="",0,VLOOKUP(D37,D$22:D36,1,0))</f>
        <v>#N/A</v>
      </c>
      <c r="F37" s="494" t="n">
        <f aca="false">IF(AND(OR(A37="",A37="!!!!!!"),B37="",C37=""),"",IF(OR(AND(B37="",C37=""),ISERROR(C37+B37)),"!!!",($B37*$B$7+$C37*$C$7)/100))</f>
        <v>0.039</v>
      </c>
      <c r="G37" s="495" t="str">
        <f aca="false">IF(A37="","",IF(ISERROR(VLOOKUP($A37,'liste reference'!$A$6:$Q$1174,9,0)),IF(ISERROR(VLOOKUP($A37,'liste reference'!$B$6:$Q$1174,8,0)),"    -",VLOOKUP($A37,'liste reference'!$B$6:$Q$1174,8,0)),VLOOKUP($A37,'liste reference'!$A$6:$Q$1174,9,0)))</f>
        <v>PHe</v>
      </c>
      <c r="H37" s="496" t="n">
        <f aca="false">IF(A37="","x",IF(ISERROR(VLOOKUP($A37,'liste reference'!$A$6:$Q$1174,10,0)),IF(ISERROR(VLOOKUP($A37,'liste reference'!$B$6:$Q$1174,9,0)),"x",VLOOKUP($A37,'liste reference'!$B$6:$Q$1174,9,0)),VLOOKUP($A37,'liste reference'!$A$6:$Q$1174,10,0)))</f>
        <v>8</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Mentha longifolia</v>
      </c>
      <c r="M37" s="498"/>
      <c r="N37" s="498"/>
      <c r="O37" s="498"/>
      <c r="P37" s="499" t="s">
        <v>3450</v>
      </c>
      <c r="Q37" s="500" t="n">
        <f aca="false">IF(OR($A37="NEWCOD",$A37="!!!!!!"),IF(X37="","NoCod",X37),IF($A37="","",IF(ISERROR(VLOOKUP($A37,'liste reference'!$A$6:$H$1174,8,0)),IF(ISERROR(VLOOKUP($A37,'liste reference'!$B$6:$H$1174,7,0)),"",VLOOKUP($A37,'liste reference'!$B$6:$H$1174,7,0)),VLOOKUP($A37,'liste reference'!$A$6:$H$1174,8,0))))</f>
        <v>19856</v>
      </c>
      <c r="R37" s="484" t="n">
        <f aca="false">IF(ISTEXT(H37),"",(B37*$B$7/100)+(C37*$C$7/100))</f>
        <v>0.039</v>
      </c>
      <c r="S37" s="485" t="n">
        <f aca="false">IF(OR(ISTEXT(H37),R37=0),"",IF(R37&lt;0.1,1,IF(R37&lt;1,2,IF(R37&lt;10,3,IF(R37&lt;50,4,IF(R37&gt;=50,5,""))))))</f>
        <v>1</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MENLON</v>
      </c>
      <c r="Z37" s="470" t="n">
        <f aca="false">IF(ISERROR(MATCH(A37,'liste reference'!$A$6:$A$1174,0)),IF(ISERROR(MATCH(A37,'liste reference'!$B$6:$B$1174,0)),"",(MATCH(A37,'liste reference'!$B$6:$B$1174,0))),(MATCH(A37,'liste reference'!$A$6:$A$1174,0)))</f>
        <v>695</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3450</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3450</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3450</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3450</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3450</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3450</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3450</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3450</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3450</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3450</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3450</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3450</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3450</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3450</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3450</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3450</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3450</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3450</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3450</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3450</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3450</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3450</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3450</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3450</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3450</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3450</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3450</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3450</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3450</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3450</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3450</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1.412</v>
      </c>
      <c r="G83" s="424"/>
      <c r="H83" s="424"/>
      <c r="I83" s="424"/>
      <c r="J83" s="424"/>
      <c r="K83" s="424"/>
      <c r="L83" s="424"/>
      <c r="M83" s="485"/>
      <c r="N83" s="485"/>
      <c r="O83" s="485"/>
      <c r="P83" s="485"/>
      <c r="Q83" s="485"/>
      <c r="R83" s="485"/>
      <c r="S83" s="485"/>
      <c r="T83" s="485"/>
      <c r="U83" s="485"/>
      <c r="V83" s="485" t="n">
        <f aca="false">SUM(V23:V82)</f>
        <v>26</v>
      </c>
      <c r="W83" s="485"/>
      <c r="X83" s="523"/>
      <c r="Y83" s="523"/>
      <c r="Z83" s="524"/>
    </row>
    <row r="84" customFormat="false" ht="12.75" hidden="true" customHeight="false" outlineLevel="0" collapsed="false">
      <c r="A84" s="518" t="str">
        <f aca="false">A3</f>
        <v>L'AVEYRON</v>
      </c>
      <c r="B84" s="453" t="str">
        <f aca="false">C3</f>
        <v>L'AVEYRON A LUGANS</v>
      </c>
      <c r="C84" s="525" t="str">
        <f aca="false">A4</f>
        <v>(Date)</v>
      </c>
      <c r="D84" s="526" t="n">
        <f aca="false">IF(OR(ISERROR(SUM($U$23:$U$82)/SUM($V$23:$V$82)),F7&lt;&gt;100),-1,SUM($U$23:$U$82)/SUM($V$23:$V$82))</f>
        <v>10.7692307692308</v>
      </c>
      <c r="E84" s="527" t="n">
        <f aca="false">O13</f>
        <v>15</v>
      </c>
      <c r="F84" s="453" t="n">
        <f aca="false">O14</f>
        <v>12</v>
      </c>
      <c r="G84" s="453" t="n">
        <f aca="false">O15</f>
        <v>5</v>
      </c>
      <c r="H84" s="453" t="n">
        <f aca="false">O16</f>
        <v>7</v>
      </c>
      <c r="I84" s="453" t="n">
        <f aca="false">O17</f>
        <v>0</v>
      </c>
      <c r="J84" s="528" t="n">
        <f aca="false">O8</f>
        <v>9.66666666666667</v>
      </c>
      <c r="K84" s="529" t="n">
        <f aca="false">O9</f>
        <v>3.44802681092953</v>
      </c>
      <c r="L84" s="530" t="n">
        <f aca="false">O10</f>
        <v>4</v>
      </c>
      <c r="M84" s="530" t="n">
        <f aca="false">O11</f>
        <v>15</v>
      </c>
      <c r="N84" s="529" t="n">
        <f aca="false">P8</f>
        <v>1.58333333333333</v>
      </c>
      <c r="O84" s="529" t="n">
        <f aca="false">P9</f>
        <v>0.493006648591635</v>
      </c>
      <c r="P84" s="530" t="n">
        <f aca="false">P10</f>
        <v>1</v>
      </c>
      <c r="Q84" s="530" t="n">
        <f aca="false">P11</f>
        <v>2</v>
      </c>
      <c r="R84" s="530" t="n">
        <f aca="false">F21</f>
        <v>1.412</v>
      </c>
      <c r="S84" s="530" t="n">
        <f aca="false">L11</f>
        <v>0</v>
      </c>
      <c r="T84" s="530" t="n">
        <f aca="false">L12</f>
        <v>6</v>
      </c>
      <c r="U84" s="530" t="n">
        <f aca="false">L13</f>
        <v>6</v>
      </c>
      <c r="V84" s="531" t="n">
        <f aca="false">L15</f>
        <v>3</v>
      </c>
      <c r="W84" s="532" t="n">
        <f aca="false">L15</f>
        <v>3</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3452</v>
      </c>
      <c r="S86" s="281"/>
      <c r="T86" s="536"/>
      <c r="U86" s="281"/>
      <c r="V86" s="281"/>
    </row>
    <row r="87" customFormat="false" ht="12.75" hidden="true" customHeight="false" outlineLevel="0" collapsed="false">
      <c r="C87" s="534"/>
      <c r="D87" s="534"/>
      <c r="E87" s="534"/>
      <c r="R87" s="281" t="s">
        <v>3453</v>
      </c>
      <c r="S87" s="281"/>
      <c r="T87" s="536" t="n">
        <f aca="false">VLOOKUP($T$91,($A$23:$U$82),20,0)</f>
        <v>30</v>
      </c>
      <c r="U87" s="281"/>
      <c r="V87" s="281"/>
    </row>
    <row r="88" customFormat="false" ht="12.75" hidden="true" customHeight="false" outlineLevel="0" collapsed="false">
      <c r="C88" s="534"/>
      <c r="D88" s="534"/>
      <c r="E88" s="534"/>
      <c r="R88" s="281" t="s">
        <v>3454</v>
      </c>
      <c r="S88" s="281"/>
      <c r="T88" s="536" t="n">
        <f aca="false">VLOOKUP($T$91,($A$23:$U$82),21,0)</f>
        <v>60</v>
      </c>
      <c r="U88" s="281"/>
      <c r="V88" s="281" t="n">
        <f aca="false">COUNTIF(V23:V82,T89)</f>
        <v>3</v>
      </c>
    </row>
    <row r="89" customFormat="false" ht="12.75" hidden="true" customHeight="false" outlineLevel="0" collapsed="false">
      <c r="C89" s="534"/>
      <c r="D89" s="534"/>
      <c r="E89" s="534"/>
      <c r="R89" s="281" t="s">
        <v>3455</v>
      </c>
      <c r="S89" s="281"/>
      <c r="T89" s="536" t="n">
        <f aca="false">MAX($V$23:$V$82)</f>
        <v>4</v>
      </c>
      <c r="U89" s="281"/>
      <c r="V89" s="0"/>
    </row>
    <row r="90" customFormat="false" ht="12.75" hidden="true" customHeight="false" outlineLevel="0" collapsed="false">
      <c r="C90" s="534"/>
      <c r="D90" s="534"/>
      <c r="E90" s="534"/>
      <c r="R90" s="281" t="s">
        <v>3456</v>
      </c>
      <c r="S90" s="281" t="s">
        <v>3384</v>
      </c>
      <c r="T90" s="537" t="n">
        <f aca="false">IF(OR(ISERROR(SUM($U$23:$U$82)/SUM($V$23:$V$82)),F7&lt;&gt;100),-1,(SUM($U$23:$U$82)-T88)/(SUM($V$23:$V$82)-T89))</f>
        <v>10</v>
      </c>
      <c r="U90" s="281" t="n">
        <f aca="false">IF(ISERROR(T90),0,1)</f>
        <v>1</v>
      </c>
      <c r="V90" s="0"/>
    </row>
    <row r="91" customFormat="false" ht="12.75" hidden="true" customHeight="false" outlineLevel="0" collapsed="false">
      <c r="C91" s="534"/>
      <c r="D91" s="534"/>
      <c r="E91" s="534"/>
      <c r="R91" s="485" t="s">
        <v>3457</v>
      </c>
      <c r="S91" s="485"/>
      <c r="T91" s="485" t="str">
        <f aca="false">INDEX('liste reference'!$A$6:$A$1174,$U$91)</f>
        <v>HILSPX</v>
      </c>
      <c r="U91" s="281" t="n">
        <f aca="false">IF(ISERROR(MATCH($T$93,'liste reference'!$A$6:$A$1174,0)),MATCH($T$93,'liste reference'!$B$6:$B$1174,0),(MATCH($T$93,'liste reference'!$A$6:$A$1174,0)))</f>
        <v>53</v>
      </c>
      <c r="V91" s="538"/>
    </row>
    <row r="92" customFormat="false" ht="12.75" hidden="true" customHeight="false" outlineLevel="0" collapsed="false">
      <c r="C92" s="534"/>
      <c r="D92" s="534"/>
      <c r="E92" s="534"/>
      <c r="R92" s="281" t="s">
        <v>3458</v>
      </c>
      <c r="S92" s="281"/>
      <c r="T92" s="281" t="n">
        <f aca="false">MATCH(T89,$V$23:$V$82,0)</f>
        <v>3</v>
      </c>
      <c r="U92" s="281"/>
    </row>
    <row r="93" customFormat="false" ht="12.75" hidden="true" customHeight="false" outlineLevel="0" collapsed="false">
      <c r="C93" s="534"/>
      <c r="D93" s="534"/>
      <c r="E93" s="534"/>
      <c r="R93" s="485" t="s">
        <v>3459</v>
      </c>
      <c r="S93" s="281"/>
      <c r="T93" s="485" t="str">
        <f aca="false">INDEX($A$23:$A$82,$T$92)</f>
        <v>HILSPX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3460</v>
      </c>
      <c r="B2" s="286"/>
      <c r="C2" s="287" t="s">
        <v>3461</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3462</v>
      </c>
      <c r="B3" s="286"/>
      <c r="C3" s="285" t="s">
        <v>3463</v>
      </c>
      <c r="D3" s="296"/>
      <c r="E3" s="296"/>
      <c r="F3" s="297"/>
      <c r="G3" s="297"/>
      <c r="H3" s="296"/>
      <c r="I3" s="281"/>
      <c r="J3" s="288"/>
      <c r="K3" s="298"/>
      <c r="L3" s="299" t="s">
        <v>3464</v>
      </c>
      <c r="M3" s="300"/>
      <c r="N3" s="301" t="s">
        <v>3465</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3405</v>
      </c>
      <c r="L10" s="370"/>
      <c r="M10" s="371"/>
      <c r="N10" s="355" t="s">
        <v>3406</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3407</v>
      </c>
      <c r="B11" s="375"/>
      <c r="C11" s="376"/>
      <c r="D11" s="360"/>
      <c r="E11" s="360"/>
      <c r="F11" s="377" t="n">
        <f aca="false">($B11*$B$7+$C11*$C$7)/100</f>
        <v>0</v>
      </c>
      <c r="G11" s="378"/>
      <c r="H11" s="330"/>
      <c r="I11" s="281"/>
      <c r="J11" s="379" t="s">
        <v>3408</v>
      </c>
      <c r="K11" s="379"/>
      <c r="L11" s="380" t="n">
        <f aca="false">COUNTIF($G$23:$G$82,"=HET")</f>
        <v>0</v>
      </c>
      <c r="M11" s="381"/>
      <c r="N11" s="355" t="s">
        <v>3409</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3410</v>
      </c>
      <c r="B12" s="383"/>
      <c r="C12" s="384"/>
      <c r="D12" s="360"/>
      <c r="E12" s="360"/>
      <c r="F12" s="377" t="n">
        <f aca="false">($B12*$B$7+$C12*$C$7)/100</f>
        <v>0</v>
      </c>
      <c r="G12" s="378"/>
      <c r="H12" s="330"/>
      <c r="I12" s="281"/>
      <c r="J12" s="379" t="s">
        <v>3411</v>
      </c>
      <c r="K12" s="379"/>
      <c r="L12" s="380" t="n">
        <f aca="false">COUNTIF($G$23:$G$82,"=ALG")</f>
        <v>1</v>
      </c>
      <c r="M12" s="381"/>
      <c r="N12" s="385"/>
      <c r="O12" s="386" t="s">
        <v>3405</v>
      </c>
      <c r="P12" s="387"/>
      <c r="Q12" s="388"/>
      <c r="R12" s="281"/>
      <c r="S12" s="281"/>
      <c r="T12" s="281"/>
      <c r="U12" s="281"/>
      <c r="V12" s="281"/>
      <c r="W12" s="295"/>
      <c r="X12" s="0"/>
      <c r="Y12" s="0"/>
      <c r="Z12" s="0"/>
    </row>
    <row r="13" customFormat="false" ht="12.75" hidden="false" customHeight="false" outlineLevel="0" collapsed="false">
      <c r="A13" s="382" t="s">
        <v>3412</v>
      </c>
      <c r="B13" s="383"/>
      <c r="C13" s="384"/>
      <c r="D13" s="360"/>
      <c r="E13" s="360"/>
      <c r="F13" s="377" t="n">
        <f aca="false">($B13*$B$7+$C13*$C$7)/100</f>
        <v>0</v>
      </c>
      <c r="G13" s="378"/>
      <c r="H13" s="330"/>
      <c r="I13" s="281"/>
      <c r="J13" s="379" t="s">
        <v>3413</v>
      </c>
      <c r="K13" s="379"/>
      <c r="L13" s="380" t="n">
        <f aca="false">COUNTIF($G$23:$G$82,"=BRm")+COUNTIF($G$23:$G$82,"=BRh")</f>
        <v>0</v>
      </c>
      <c r="M13" s="381"/>
      <c r="N13" s="389" t="s">
        <v>3414</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3415</v>
      </c>
      <c r="B14" s="383"/>
      <c r="C14" s="384"/>
      <c r="D14" s="360"/>
      <c r="E14" s="360"/>
      <c r="F14" s="377" t="n">
        <f aca="false">($B14*$B$7+$C14*$C$7)/100</f>
        <v>0</v>
      </c>
      <c r="G14" s="378"/>
      <c r="H14" s="330"/>
      <c r="I14" s="281"/>
      <c r="J14" s="379" t="s">
        <v>3416</v>
      </c>
      <c r="K14" s="379"/>
      <c r="L14" s="380" t="n">
        <f aca="false">COUNTIF($G$23:$G$82,"=PTE")+COUNTIF($G$23:$G$82,"=LIC")</f>
        <v>0</v>
      </c>
      <c r="M14" s="381"/>
      <c r="N14" s="392" t="s">
        <v>3417</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3418</v>
      </c>
      <c r="B15" s="396"/>
      <c r="C15" s="397"/>
      <c r="D15" s="360"/>
      <c r="E15" s="360"/>
      <c r="F15" s="377" t="n">
        <f aca="false">($B15*$B$7+$C15*$C$7)/100</f>
        <v>0</v>
      </c>
      <c r="G15" s="378"/>
      <c r="H15" s="330"/>
      <c r="I15" s="281"/>
      <c r="J15" s="379" t="s">
        <v>3419</v>
      </c>
      <c r="K15" s="379"/>
      <c r="L15" s="380" t="n">
        <f aca="false">(COUNTIF($G$23:$G$82,"=PHy"))+(COUNTIF($G$23:$G$82,"=PHe"))+(COUNTIF($G$23:$G$82,"=PHg"))+(COUNTIF($G$23:$G$82,"=PHx"))</f>
        <v>0</v>
      </c>
      <c r="M15" s="381"/>
      <c r="N15" s="389" t="s">
        <v>3420</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3421</v>
      </c>
      <c r="B16" s="375"/>
      <c r="C16" s="376"/>
      <c r="D16" s="360"/>
      <c r="E16" s="360"/>
      <c r="F16" s="398"/>
      <c r="G16" s="399" t="n">
        <f aca="false">($B16*$B$7+$C16*$C$7)/100</f>
        <v>0</v>
      </c>
      <c r="H16" s="330"/>
      <c r="I16" s="281"/>
      <c r="J16" s="400"/>
      <c r="K16" s="401"/>
      <c r="L16" s="401"/>
      <c r="M16" s="381"/>
      <c r="N16" s="389" t="s">
        <v>3422</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3423</v>
      </c>
      <c r="B17" s="383"/>
      <c r="C17" s="384"/>
      <c r="D17" s="360"/>
      <c r="E17" s="360"/>
      <c r="F17" s="402"/>
      <c r="G17" s="403" t="n">
        <f aca="false">($B17*$B$7+$C17*$C$7)/100</f>
        <v>0</v>
      </c>
      <c r="H17" s="330"/>
      <c r="I17" s="281"/>
      <c r="J17" s="404"/>
      <c r="K17" s="405"/>
      <c r="L17" s="406" t="s">
        <v>3424</v>
      </c>
      <c r="M17" s="407" t="str">
        <f aca="false">IF(ISERROR((O13-(COUNTIF(J23:J82,"nc")))/O13),"-",(O13-(COUNTIF(J23:J82,"nc")))/O13)</f>
        <v>-</v>
      </c>
      <c r="N17" s="389" t="s">
        <v>3425</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3426</v>
      </c>
      <c r="B18" s="410"/>
      <c r="C18" s="411"/>
      <c r="D18" s="360"/>
      <c r="E18" s="412" t="s">
        <v>3427</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3428</v>
      </c>
      <c r="B20" s="432" t="n">
        <f aca="false">SUM(B23:B82)</f>
        <v>0</v>
      </c>
      <c r="C20" s="433" t="n">
        <f aca="false">SUM(C23:C82)</f>
        <v>0</v>
      </c>
      <c r="D20" s="434"/>
      <c r="E20" s="435" t="s">
        <v>3427</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3429</v>
      </c>
      <c r="B21" s="444" t="n">
        <f aca="false">B20*B7/100</f>
        <v>0</v>
      </c>
      <c r="C21" s="444" t="n">
        <f aca="false">C20*C7/100</f>
        <v>0</v>
      </c>
      <c r="D21" s="445" t="s">
        <v>3430</v>
      </c>
      <c r="E21" s="446"/>
      <c r="F21" s="447" t="n">
        <f aca="false">B21+C21</f>
        <v>0</v>
      </c>
      <c r="G21" s="448"/>
      <c r="H21" s="360"/>
      <c r="I21" s="281"/>
      <c r="J21" s="449"/>
      <c r="K21" s="449"/>
      <c r="L21" s="450"/>
      <c r="M21" s="450"/>
      <c r="N21" s="451"/>
      <c r="O21" s="451"/>
      <c r="P21" s="452"/>
      <c r="Q21" s="443"/>
      <c r="R21" s="281"/>
      <c r="S21" s="281"/>
      <c r="T21" s="453"/>
      <c r="U21" s="453"/>
      <c r="V21" s="281"/>
      <c r="W21" s="454"/>
      <c r="X21" s="455" t="s">
        <v>3431</v>
      </c>
      <c r="Y21" s="0"/>
      <c r="Z21" s="0"/>
    </row>
    <row r="22" customFormat="false" ht="12.75" hidden="false" customHeight="false" outlineLevel="0" collapsed="false">
      <c r="A22" s="456" t="s">
        <v>3432</v>
      </c>
      <c r="B22" s="457" t="s">
        <v>3433</v>
      </c>
      <c r="C22" s="457" t="s">
        <v>3433</v>
      </c>
      <c r="D22" s="458"/>
      <c r="E22" s="459"/>
      <c r="F22" s="460" t="s">
        <v>3434</v>
      </c>
      <c r="G22" s="461" t="s">
        <v>23</v>
      </c>
      <c r="H22" s="360" t="s">
        <v>24</v>
      </c>
      <c r="I22" s="281" t="s">
        <v>3435</v>
      </c>
      <c r="J22" s="462" t="s">
        <v>3436</v>
      </c>
      <c r="K22" s="462" t="s">
        <v>3437</v>
      </c>
      <c r="L22" s="463" t="s">
        <v>3438</v>
      </c>
      <c r="M22" s="463"/>
      <c r="N22" s="463"/>
      <c r="O22" s="463"/>
      <c r="P22" s="455" t="s">
        <v>3439</v>
      </c>
      <c r="Q22" s="464" t="s">
        <v>3440</v>
      </c>
      <c r="R22" s="465" t="s">
        <v>3441</v>
      </c>
      <c r="S22" s="466" t="s">
        <v>3442</v>
      </c>
      <c r="T22" s="467" t="s">
        <v>3443</v>
      </c>
      <c r="U22" s="467" t="s">
        <v>3444</v>
      </c>
      <c r="V22" s="468" t="s">
        <v>3445</v>
      </c>
      <c r="W22" s="469" t="s">
        <v>3446</v>
      </c>
      <c r="X22" s="469" t="s">
        <v>3447</v>
      </c>
      <c r="Y22" s="470" t="s">
        <v>3448</v>
      </c>
      <c r="Z22" s="470" t="s">
        <v>3449</v>
      </c>
    </row>
    <row r="23" customFormat="false" ht="12.75" hidden="false" customHeight="false" outlineLevel="0" collapsed="false">
      <c r="A23" s="471" t="s">
        <v>3466</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3450</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3450</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3450</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3450</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3450</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3450</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3450</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3450</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3450</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3450</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3450</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3450</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3450</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3450</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3450</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3450</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3450</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3450</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3450</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3450</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3450</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3450</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3450</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3450</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3450</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3450</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3450</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3450</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3450</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3450</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3450</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3450</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3450</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3450</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3450</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3450</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3450</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3450</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3450</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3450</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3450</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3450</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3450</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3450</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3450</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3450</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3452</v>
      </c>
      <c r="S86" s="281"/>
      <c r="T86" s="536"/>
      <c r="U86" s="281"/>
      <c r="V86" s="281"/>
    </row>
    <row r="87" customFormat="false" ht="12.75" hidden="true" customHeight="false" outlineLevel="0" collapsed="false">
      <c r="C87" s="534"/>
      <c r="D87" s="534"/>
      <c r="E87" s="534"/>
      <c r="R87" s="281" t="s">
        <v>3453</v>
      </c>
      <c r="S87" s="281"/>
      <c r="T87" s="536" t="n">
        <f aca="false">VLOOKUP($T$91,($A$23:$U$82),20,0)</f>
        <v>0</v>
      </c>
      <c r="U87" s="281"/>
      <c r="V87" s="281"/>
    </row>
    <row r="88" customFormat="false" ht="12.75" hidden="true" customHeight="false" outlineLevel="0" collapsed="false">
      <c r="C88" s="534"/>
      <c r="D88" s="534"/>
      <c r="E88" s="534"/>
      <c r="R88" s="281" t="s">
        <v>3454</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3455</v>
      </c>
      <c r="S89" s="281"/>
      <c r="T89" s="536" t="n">
        <f aca="false">MAX($V$23:$V$82)</f>
        <v>0</v>
      </c>
      <c r="U89" s="281"/>
      <c r="V89" s="0"/>
    </row>
    <row r="90" customFormat="false" ht="12.75" hidden="true" customHeight="false" outlineLevel="0" collapsed="false">
      <c r="C90" s="534"/>
      <c r="D90" s="534"/>
      <c r="E90" s="534"/>
      <c r="R90" s="281" t="s">
        <v>3456</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3457</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3458</v>
      </c>
      <c r="S92" s="281"/>
      <c r="T92" s="281" t="n">
        <f aca="false">MATCH(T89,$V$23:$V$82,0)</f>
        <v>1</v>
      </c>
      <c r="U92" s="281"/>
    </row>
    <row r="93" customFormat="false" ht="12.75" hidden="true" customHeight="false" outlineLevel="0" collapsed="false">
      <c r="C93" s="534"/>
      <c r="D93" s="534"/>
      <c r="E93" s="534"/>
      <c r="R93" s="485" t="s">
        <v>3459</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3467</v>
      </c>
      <c r="B1" s="541"/>
      <c r="C1" s="541"/>
      <c r="D1" s="541"/>
      <c r="E1" s="542" t="s">
        <v>3468</v>
      </c>
      <c r="F1" s="543" t="s">
        <v>3469</v>
      </c>
      <c r="G1" s="544"/>
      <c r="H1" s="544"/>
      <c r="I1" s="545"/>
      <c r="J1" s="545"/>
      <c r="K1" s="545"/>
      <c r="L1" s="546"/>
    </row>
    <row r="2" customFormat="false" ht="15" hidden="false" customHeight="false" outlineLevel="0" collapsed="false">
      <c r="A2" s="547" t="s">
        <v>3470</v>
      </c>
      <c r="B2" s="548"/>
      <c r="C2" s="549"/>
      <c r="D2" s="549"/>
      <c r="E2" s="550"/>
      <c r="F2" s="543" t="s">
        <v>3471</v>
      </c>
      <c r="G2" s="544"/>
      <c r="H2" s="544"/>
      <c r="I2" s="545"/>
      <c r="J2" s="545"/>
      <c r="K2" s="545"/>
      <c r="L2" s="546"/>
    </row>
    <row r="3" customFormat="false" ht="15.75" hidden="false" customHeight="false" outlineLevel="0" collapsed="false">
      <c r="A3" s="547" t="s">
        <v>3472</v>
      </c>
      <c r="B3" s="548"/>
      <c r="C3" s="549"/>
      <c r="D3" s="551" t="s">
        <v>3473</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3474</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3475</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3476</v>
      </c>
      <c r="G17" s="570"/>
      <c r="H17" s="571" t="s">
        <v>3477</v>
      </c>
      <c r="I17" s="570"/>
    </row>
    <row r="18" customFormat="false" ht="15" hidden="false" customHeight="false" outlineLevel="0" collapsed="false">
      <c r="A18" s="563"/>
      <c r="B18" s="566" t="s">
        <v>2963</v>
      </c>
      <c r="C18" s="567"/>
      <c r="D18" s="568"/>
      <c r="F18" s="572" t="s">
        <v>3478</v>
      </c>
      <c r="G18" s="573"/>
      <c r="H18" s="572" t="s">
        <v>3478</v>
      </c>
      <c r="I18" s="574"/>
    </row>
    <row r="19" customFormat="false" ht="15" hidden="false" customHeight="false" outlineLevel="0" collapsed="false">
      <c r="A19" s="563"/>
      <c r="B19" s="566" t="s">
        <v>2965</v>
      </c>
      <c r="C19" s="567"/>
      <c r="D19" s="568"/>
      <c r="F19" s="575" t="s">
        <v>3479</v>
      </c>
      <c r="G19" s="8"/>
      <c r="H19" s="575" t="s">
        <v>3479</v>
      </c>
      <c r="I19" s="576"/>
    </row>
    <row r="20" customFormat="false" ht="15" hidden="false" customHeight="false" outlineLevel="0" collapsed="false">
      <c r="A20" s="563"/>
      <c r="B20" s="566" t="s">
        <v>2969</v>
      </c>
      <c r="C20" s="567"/>
      <c r="D20" s="568"/>
      <c r="F20" s="575" t="s">
        <v>3480</v>
      </c>
      <c r="G20" s="8"/>
      <c r="H20" s="575" t="s">
        <v>3480</v>
      </c>
      <c r="I20" s="576"/>
    </row>
    <row r="21" customFormat="false" ht="15" hidden="false" customHeight="false" outlineLevel="0" collapsed="false">
      <c r="A21" s="563"/>
      <c r="B21" s="566" t="s">
        <v>2318</v>
      </c>
      <c r="C21" s="567"/>
      <c r="D21" s="568"/>
      <c r="F21" s="575" t="s">
        <v>3481</v>
      </c>
      <c r="G21" s="8"/>
      <c r="H21" s="575" t="s">
        <v>3481</v>
      </c>
      <c r="I21" s="576"/>
    </row>
    <row r="22" customFormat="false" ht="15" hidden="false" customHeight="false" outlineLevel="0" collapsed="false">
      <c r="A22" s="563"/>
      <c r="B22" s="566" t="s">
        <v>2971</v>
      </c>
      <c r="C22" s="567"/>
      <c r="D22" s="568"/>
      <c r="F22" s="575" t="s">
        <v>3482</v>
      </c>
      <c r="G22" s="8"/>
      <c r="H22" s="575" t="s">
        <v>3482</v>
      </c>
      <c r="I22" s="576"/>
    </row>
    <row r="23" customFormat="false" ht="15" hidden="false" customHeight="false" outlineLevel="0" collapsed="false">
      <c r="A23" s="563"/>
      <c r="B23" s="566" t="s">
        <v>1933</v>
      </c>
      <c r="C23" s="567"/>
      <c r="D23" s="568"/>
      <c r="F23" s="575" t="s">
        <v>3483</v>
      </c>
      <c r="G23" s="8"/>
      <c r="H23" s="575" t="s">
        <v>3483</v>
      </c>
      <c r="I23" s="576"/>
    </row>
    <row r="24" customFormat="false" ht="15" hidden="false" customHeight="false" outlineLevel="0" collapsed="false">
      <c r="A24" s="563"/>
      <c r="B24" s="566" t="s">
        <v>2973</v>
      </c>
      <c r="C24" s="567"/>
      <c r="D24" s="568"/>
      <c r="F24" s="575" t="s">
        <v>3484</v>
      </c>
      <c r="G24" s="8"/>
      <c r="H24" s="575" t="s">
        <v>3484</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3485</v>
      </c>
      <c r="G26" s="8"/>
      <c r="H26" s="575" t="s">
        <v>3485</v>
      </c>
      <c r="I26" s="576"/>
    </row>
    <row r="27" customFormat="false" ht="15" hidden="false" customHeight="false" outlineLevel="0" collapsed="false">
      <c r="A27" s="563"/>
      <c r="B27" s="566" t="s">
        <v>1329</v>
      </c>
      <c r="C27" s="567"/>
      <c r="D27" s="568"/>
      <c r="F27" s="577" t="s">
        <v>3486</v>
      </c>
      <c r="G27" s="578"/>
      <c r="H27" s="577" t="s">
        <v>3486</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3487</v>
      </c>
    </row>
    <row r="31" customFormat="false" ht="15" hidden="false" customHeight="false" outlineLevel="0" collapsed="false">
      <c r="A31" s="563"/>
      <c r="B31" s="566" t="s">
        <v>2323</v>
      </c>
      <c r="C31" s="567"/>
      <c r="D31" s="568"/>
      <c r="F31" s="581" t="s">
        <v>3451</v>
      </c>
    </row>
    <row r="32" customFormat="false" ht="15" hidden="false" customHeight="false" outlineLevel="0" collapsed="false">
      <c r="A32" s="563"/>
      <c r="B32" s="566" t="s">
        <v>2325</v>
      </c>
      <c r="C32" s="567"/>
      <c r="D32" s="568"/>
      <c r="F32" s="582" t="s">
        <v>3450</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3488</v>
      </c>
    </row>
    <row r="37" customFormat="false" ht="15" hidden="false" customHeight="false" outlineLevel="0" collapsed="false">
      <c r="A37" s="563"/>
      <c r="B37" s="566" t="s">
        <v>2979</v>
      </c>
      <c r="C37" s="567"/>
      <c r="D37" s="568"/>
      <c r="F37" s="581" t="s">
        <v>3404</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3489</v>
      </c>
    </row>
    <row r="40" customFormat="false" ht="15" hidden="false" customHeight="false" outlineLevel="0" collapsed="false">
      <c r="A40" s="563"/>
      <c r="B40" s="566" t="s">
        <v>624</v>
      </c>
      <c r="C40" s="567"/>
      <c r="D40" s="568"/>
      <c r="F40" s="583" t="s">
        <v>3490</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3491</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3492</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3493</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3494</v>
      </c>
    </row>
    <row r="1188" customFormat="false" ht="15" hidden="false" customHeight="false" outlineLevel="0" collapsed="false">
      <c r="A1188" s="563"/>
      <c r="B1188" s="566" t="s">
        <v>3495</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3496</v>
      </c>
    </row>
    <row r="1229" customFormat="false" ht="15" hidden="false" customHeight="false" outlineLevel="0" collapsed="false">
      <c r="A1229" s="563"/>
      <c r="B1229" s="566" t="s">
        <v>3497</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2017-03-09T09:26:50Z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