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67008" sheetId="6" state="visible" r:id="rId8"/>
    <sheet name="jgjg" sheetId="7" state="hidden" r:id="rId9"/>
    <sheet name="liste codes réf" sheetId="8" state="hidden" r:id="rId10"/>
  </sheets>
  <definedNames>
    <definedName function="false" hidden="false" localSheetId="5" name="_xlnm.Print_Area" vbProcedure="false">'05167008'!$A$1:$Q$82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'05167008'!$A$1:$Q$82</definedName>
    <definedName function="false" hidden="false" localSheetId="5" name="_xlnm__FilterDatabase" vbProcedure="false">'05167008'!$A$1:$C$1415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<sst xmlns="http://schemas.openxmlformats.org/spreadsheetml/2006/main" count="8848" uniqueCount="3497">
  <si>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</si>
  <si>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</si>
  <si>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</si>
  <si>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</si>
  <si>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</si>
  <si>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</si>
  <si>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</si>
  <si>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</si>
  <si>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</si>
  <si>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</si>
  <si>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</si>
  <si>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</si>
  <si>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</si>
  <si>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</si>
  <si>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</si>
  <si>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</si>
  <si>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</si>
  <si>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</si>
  <si>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</si>
  <si>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</si>
  <si>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</si>
  <si>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</si>
  <si>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</si>
  <si>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</si>
  <si>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</si>
  <si>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</si>
  <si>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</si>
  <si>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</si>
  <si>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</si>
  <si>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</si>
  <si>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</si>
  <si>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</si>
  <si>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</si>
  <si>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</si>
  <si>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</si>
  <si>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</si>
  <si>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</si>
  <si>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</si>
  <si>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</si>
  <si>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</si>
  <si>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</si>
  <si>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</si>
  <si>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</si>
  <si>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</si>
  <si>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</si>
  <si>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</si>
  <si>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</si>
  <si>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</si>
  <si>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</si>
  <si>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</si>
  <si>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</si>
  <si>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</si>
  <si>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</si>
  <si>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</si>
  <si>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</si>
  <si>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</si>
  <si>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</si>
  <si>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</si>
  <si>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</si>
  <si>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</si>
  <si>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</si>
  <si>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</si>
  <si>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</si>
  <si>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</si>
  <si>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</si>
  <si>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</si>
  <si>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</si>
  <si>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</si>
  <si>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</si>
  <si>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</si>
  <si>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</si>
  <si>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</si>
  <si>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</si>
  <si>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</si>
  <si>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</si>
  <si>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</si>
  <si>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</si>
  <si>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</si>
  <si>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</si>
  <si>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</si>
  <si>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</si>
  <si>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</si>
  <si>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</si>
  <si>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</si>
  <si>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</si>
  <si>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</si>
  <si>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</si>
  <si>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</si>
  <si>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</si>
  <si>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</si>
  <si>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</si>
  <si>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</si>
  <si>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</si>
  <si>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</si>
  <si>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</si>
  <si>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</si>
  <si>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</si>
  <si>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</si>
  <si>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</si>
  <si>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</si>
  <si>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</si>
  <si>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</si>
  <si>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</si>
  <si>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</si>
  <si>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</si>
  <si>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</si>
  <si>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</si>
  <si>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</si>
  <si>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</si>
  <si>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</si>
  <si>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</si>
  <si>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</si>
  <si>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</si>
  <si>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</si>
  <si>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</si>
  <si>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</si>
  <si>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</si>
  <si>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</si>
  <si>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</si>
  <si>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</si>
  <si>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</si>
  <si>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</si>
  <si>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</si>
  <si>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</si>
  <si>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</si>
  <si>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</si>
  <si>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</si>
  <si>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</si>
  <si>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</si>
  <si>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</si>
  <si>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</si>
  <si>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</si>
  <si>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</si>
  <si>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</si>
  <si>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</si>
  <si>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</si>
  <si>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</si>
  <si>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</si>
  <si>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</si>
  <si>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</si>
  <si>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</si>
  <si>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</si>
  <si>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</si>
  <si>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</si>
  <si>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</si>
  <si>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</si>
  <si>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</si>
  <si>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</si>
  <si>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</si>
  <si>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</si>
  <si>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</si>
  <si>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</si>
  <si>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</si>
  <si>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</si>
  <si>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</si>
  <si>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</si>
  <si>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</si>
  <si>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</si>
  <si>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</si>
  <si>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</si>
  <si>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</si>
  <si>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</si>
  <si>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</si>
  <si>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</si>
  <si>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</si>
  <si>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</si>
  <si>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</si>
  <si>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</si>
  <si>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</si>
  <si>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</si>
  <si>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</si>
  <si>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</si>
  <si>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</si>
  <si>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</si>
  <si>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</si>
  <si>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</si>
  <si>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</si>
  <si>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</si>
  <si>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</si>
  <si>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</si>
  <si>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</si>
  <si>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</si>
  <si>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</si>
  <si>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</si>
  <si>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</si>
  <si>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</si>
  <si>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</si>
  <si>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</si>
  <si>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</si>
  <si>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</si>
  <si>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</si>
  <si>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</si>
  <si>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</si>
  <si>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</si>
  <si>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</si>
  <si>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</si>
  <si>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</si>
  <si>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</si>
  <si>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</si>
  <si>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</si>
  <si>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</si>
  <si>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</si>
  <si>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</si>
  <si>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</si>
  <si>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</si>
  <si>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</si>
  <si>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</si>
  <si>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</si>
  <si>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</si>
  <si>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</si>
  <si>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</si>
  <si>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</si>
  <si>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</si>
  <si>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</si>
  <si>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</si>
  <si>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</si>
  <si>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</si>
  <si>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</si>
  <si>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</si>
  <si>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</si>
  <si>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</si>
  <si>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</si>
  <si>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</si>
  <si>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</si>
  <si>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</si>
  <si>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</si>
  <si>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</si>
  <si>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</si>
  <si>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</si>
  <si>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</si>
  <si>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</si>
  <si>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</si>
  <si>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</si>
  <si>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</si>
  <si>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</si>
  <si>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</si>
  <si>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</si>
  <si>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</si>
  <si>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</si>
  <si>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</si>
  <si>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</si>
  <si>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</si>
  <si>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</si>
  <si>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</si>
  <si>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</si>
  <si>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</si>
  <si>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</si>
  <si>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</si>
  <si>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</si>
  <si>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</si>
  <si>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</si>
  <si>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</si>
  <si>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</si>
  <si>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</si>
  <si>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</si>
  <si>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</si>
  <si>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</si>
  <si>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</si>
  <si>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</si>
  <si>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</si>
  <si>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</si>
  <si>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</si>
  <si>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</si>
  <si>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</si>
  <si>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</si>
  <si>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</si>
  <si>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</si>
  <si>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</si>
  <si>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</si>
  <si>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</si>
  <si>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</si>
  <si>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</si>
  <si>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</si>
  <si>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</si>
  <si>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</si>
  <si>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</si>
  <si>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</si>
  <si>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</si>
  <si>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</si>
  <si>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</si>
  <si>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</si>
  <si>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</si>
  <si>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</si>
  <si>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</si>
  <si>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</si>
  <si>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</si>
  <si>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</si>
  <si>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</si>
  <si>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</si>
  <si>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</si>
  <si>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</si>
  <si>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</si>
  <si>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</si>
  <si>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</si>
  <si>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</si>
  <si>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</si>
  <si>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</si>
  <si>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</si>
  <si>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</si>
  <si>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</si>
  <si>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</si>
  <si>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</si>
  <si>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</si>
  <si>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</si>
  <si>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</si>
  <si>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</si>
  <si>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</si>
  <si>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</si>
  <si>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</si>
  <si>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</si>
  <si>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</si>
  <si>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</si>
  <si>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</si>
  <si>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</si>
  <si>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</si>
  <si>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</si>
  <si>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</si>
  <si>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</si>
  <si>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</si>
  <si>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</si>
  <si>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</si>
  <si>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</si>
  <si>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</si>
  <si>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</si>
  <si>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</si>
  <si>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</si>
  <si>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</si>
  <si>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</si>
  <si>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</si>
  <si>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</si>
  <si>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</si>
  <si>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</si>
  <si>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</si>
  <si>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</si>
  <si>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</si>
  <si>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</si>
  <si>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</si>
  <si>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</si>
  <si>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</si>
  <si>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</si>
  <si>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</si>
  <si>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</si>
  <si>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</si>
  <si>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</si>
  <si>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</si>
  <si>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</si>
  <si>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</si>
  <si>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</si>
  <si>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</si>
  <si>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</si>
  <si>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</si>
  <si>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</si>
  <si>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</si>
  <si>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</si>
  <si>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</si>
  <si>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</si>
  <si>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</si>
  <si>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</si>
  <si>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</si>
  <si>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</si>
  <si>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</si>
  <si>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</si>
  <si>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</si>
  <si>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</si>
  <si>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</si>
  <si>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</si>
  <si>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</si>
  <si>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</si>
  <si>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</si>
  <si>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</si>
  <si>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</si>
  <si>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</si>
  <si>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</si>
  <si>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</si>
  <si>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</si>
  <si>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</si>
  <si>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</si>
  <si>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</si>
  <si>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</si>
  <si>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</si>
  <si>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</si>
  <si>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</si>
  <si>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</si>
  <si>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</si>
  <si>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</si>
  <si>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</si>
  <si>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</si>
  <si>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</si>
  <si>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</si>
  <si>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</si>
  <si>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</si>
  <si>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</si>
  <si>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</si>
  <si>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</si>
  <si>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</si>
  <si>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</si>
  <si>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</si>
  <si>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</si>
  <si>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</si>
  <si>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</si>
  <si>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</si>
  <si>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</si>
  <si>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</si>
  <si>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</si>
  <si>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</si>
  <si>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</si>
  <si>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</si>
  <si>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</si>
  <si>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</si>
  <si>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</si>
  <si>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</si>
  <si>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</si>
  <si>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</si>
  <si>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</si>
  <si>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</si>
  <si>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</si>
  <si>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</si>
  <si>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</si>
  <si>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</si>
  <si>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</si>
  <si>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</si>
  <si>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</si>
  <si>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</si>
  <si>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</si>
  <si>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</si>
  <si>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</si>
  <si>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</si>
  <si>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</si>
  <si>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</si>
  <si>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</si>
  <si>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</si>
  <si>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</si>
  <si>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</si>
  <si>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</si>
  <si>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</si>
  <si>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</si>
  <si>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</si>
  <si>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</si>
  <si>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</si>
  <si>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</si>
  <si>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</si>
  <si>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</si>
  <si>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</si>
  <si>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</si>
  <si>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</si>
  <si>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</si>
  <si>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</si>
  <si>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</si>
  <si>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</si>
  <si>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</si>
  <si>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</si>
  <si>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</si>
  <si>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</si>
  <si>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</si>
  <si>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</si>
  <si>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</si>
  <si>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</si>
  <si>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</si>
  <si>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</si>
  <si>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</si>
  <si>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</si>
  <si>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</si>
  <si>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</si>
  <si>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</si>
  <si>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</si>
  <si>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</si>
  <si>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</si>
  <si>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</si>
  <si>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</si>
  <si>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</si>
  <si>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</si>
  <si>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</si>
  <si>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</si>
  <si>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</si>
  <si>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</si>
  <si>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</si>
  <si>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</si>
  <si>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</si>
  <si>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</si>
  <si>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</si>
  <si>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</si>
  <si>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</si>
  <si>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</si>
  <si>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</si>
  <si>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</si>
  <si>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</si>
  <si>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</si>
  <si>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</si>
  <si>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</si>
  <si>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</si>
  <si>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</si>
  <si>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</si>
  <si>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</si>
  <si>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</si>
  <si>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</si>
  <si>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</si>
  <si>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</si>
  <si>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</si>
  <si>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</si>
  <si>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</si>
  <si>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</si>
  <si>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</si>
  <si>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</si>
  <si>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</si>
  <si>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</si>
  <si>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</si>
  <si>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</si>
  <si>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</si>
  <si>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</si>
  <si>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</si>
  <si>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</si>
  <si>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</si>
  <si>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</si>
  <si>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</si>
  <si>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</si>
  <si>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</si>
  <si>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</si>
  <si>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</si>
  <si>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</si>
  <si>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</si>
  <si>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</si>
  <si>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</si>
  <si>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</si>
  <si>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</si>
  <si>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</si>
  <si>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</si>
  <si>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</si>
  <si>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</si>
  <si>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</si>
  <si>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</si>
  <si>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</si>
  <si>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</si>
  <si>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</si>
  <si>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</si>
  <si>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</si>
  <si>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</si>
  <si>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</si>
  <si>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</si>
  <si>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</si>
  <si>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</si>
  <si>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</si>
  <si>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</si>
  <si>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</si>
  <si>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</si>
  <si>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</si>
  <si>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</si>
  <si>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</si>
  <si>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</si>
  <si>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</si>
  <si>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</si>
  <si>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</si>
  <si>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</si>
  <si>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</si>
  <si>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</si>
  <si>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</si>
  <si>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</si>
  <si>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</si>
  <si>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</si>
  <si>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</si>
  <si>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</si>
  <si>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</si>
  <si>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</si>
  <si>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</si>
  <si>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</si>
  <si>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</si>
  <si>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</si>
  <si>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</si>
  <si>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</si>
  <si>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</si>
  <si>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</si>
  <si>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</si>
  <si>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</si>
  <si>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</si>
  <si>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</si>
  <si>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</si>
  <si>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</si>
  <si>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</si>
  <si>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</si>
  <si>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</si>
  <si>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</si>
  <si>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</si>
  <si>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</si>
  <si>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</si>
  <si>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</si>
  <si>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</si>
  <si>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</si>
  <si>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</si>
  <si>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</si>
  <si>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</si>
  <si>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</si>
  <si>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</si>
  <si>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</si>
  <si>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</si>
  <si>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</si>
  <si>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</si>
  <si>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</si>
  <si>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</si>
  <si>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</si>
  <si>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</si>
  <si>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</si>
  <si>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</si>
  <si>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</si>
  <si>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</si>
  <si>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</si>
  <si>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</si>
  <si>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</si>
  <si>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</si>
  <si>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</si>
  <si>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</si>
  <si>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</si>
  <si>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</si>
  <si>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</si>
  <si>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</si>
  <si>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</si>
  <si>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</si>
  <si>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</si>
  <si>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</si>
  <si>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</si>
  <si>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</si>
  <si>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</si>
  <si>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</si>
  <si>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</si>
  <si>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</si>
  <si>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</si>
  <si>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</si>
  <si>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</si>
  <si>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</si>
  <si>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</si>
  <si>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</si>
  <si>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</si>
  <si>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</si>
  <si>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</si>
  <si>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</si>
  <si>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</si>
  <si>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</si>
  <si>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</si>
  <si>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</si>
  <si>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</si>
  <si>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</si>
  <si>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</si>
  <si>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</si>
  <si>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</si>
  <si>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</si>
  <si>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</si>
  <si>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</si>
  <si>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</si>
  <si>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</si>
  <si>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</si>
  <si>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</si>
  <si>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</si>
  <si>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</si>
  <si>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</si>
  <si>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</si>
  <si>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</si>
  <si>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</si>
  <si>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</si>
  <si>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</si>
  <si>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</si>
  <si>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</si>
  <si>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</si>
  <si>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</si>
  <si>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</si>
  <si>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</si>
  <si>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</si>
  <si>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</si>
  <si>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</si>
  <si>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</si>
  <si>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</si>
  <si>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</si>
  <si>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</si>
  <si>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</si>
  <si>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</si>
  <si>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</si>
  <si>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</si>
  <si>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</si>
  <si>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</si>
  <si>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</si>
  <si>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</si>
  <si>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</si>
  <si>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</si>
  <si>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</si>
  <si>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</si>
  <si>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</si>
  <si>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</si>
  <si>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</si>
  <si>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</si>
  <si>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</si>
  <si>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</si>
  <si>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</si>
  <si>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</si>
  <si>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</si>
  <si>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</si>
  <si>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</si>
  <si>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</si>
  <si>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</si>
  <si>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</si>
  <si>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</si>
  <si>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</si>
  <si>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</si>
  <si>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</si>
  <si>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</si>
  <si>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</si>
  <si>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</si>
  <si>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</si>
  <si>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</si>
  <si>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</si>
  <si>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</si>
  <si>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</si>
  <si>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</si>
  <si>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</si>
  <si>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</si>
  <si>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</si>
  <si>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</si>
  <si>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</si>
  <si>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</si>
  <si>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</si>
  <si>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</si>
  <si>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</si>
  <si>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</si>
  <si>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</si>
  <si>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</si>
  <si>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</si>
  <si>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</si>
  <si>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</si>
  <si>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</si>
  <si>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</si>
  <si>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</si>
  <si>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</si>
  <si>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</si>
  <si>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</si>
  <si>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</si>
  <si>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</si>
  <si>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</si>
  <si>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</si>
  <si>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</si>
  <si>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</si>
  <si>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</si>
  <si>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</si>
  <si>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</si>
  <si>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</si>
  <si>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</si>
  <si>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</si>
  <si>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</si>
  <si>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</si>
  <si>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</si>
  <si>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</si>
  <si>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</si>
  <si>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</si>
  <si>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</si>
  <si>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</si>
  <si>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</si>
  <si>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</si>
  <si>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</si>
  <si>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</si>
  <si>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</si>
  <si>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</si>
  <si>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</si>
  <si>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</si>
  <si>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</si>
  <si>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</si>
  <si>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</si>
  <si>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</si>
  <si>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</si>
  <si>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</si>
  <si>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</si>
  <si>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</si>
  <si>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</si>
  <si>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</si>
  <si>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</si>
  <si>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</si>
  <si>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</si>
  <si>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</si>
  <si>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</si>
  <si>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</si>
  <si>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</si>
  <si>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</si>
  <si>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</si>
  <si>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</si>
  <si>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</si>
  <si>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</si>
  <si>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</si>
  <si>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</si>
  <si>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</si>
  <si>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</si>
  <si>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</si>
  <si>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</si>
  <si>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</si>
  <si>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</si>
  <si>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</si>
  <si>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</si>
  <si>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</si>
  <si>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</si>
  <si>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</si>
  <si>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</si>
  <si>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</si>
  <si>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</si>
  <si>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</si>
  <si>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</si>
  <si>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</si>
  <si>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</si>
  <si>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</si>
  <si>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</si>
  <si>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</si>
  <si>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</si>
  <si>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</si>
  <si>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</si>
  <si>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</si>
  <si>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</si>
  <si>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</si>
  <si>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</si>
  <si>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</si>
  <si>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</si>
  <si>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</si>
  <si>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</si>
  <si>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</si>
  <si>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</si>
  <si>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</si>
  <si>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</si>
  <si>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</si>
  <si>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</si>
  <si>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</si>
  <si>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</si>
  <si>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</si>
  <si>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</si>
  <si>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</si>
  <si>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</si>
  <si>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</si>
  <si>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</si>
  <si>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</si>
  <si>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</si>
  <si>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</si>
  <si>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</si>
  <si>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</si>
  <si>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</si>
  <si>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</si>
  <si>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</si>
  <si>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</si>
  <si>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</si>
  <si>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</si>
  <si>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</si>
  <si>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</si>
  <si>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</si>
  <si>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</si>
  <si>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</si>
  <si>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</si>
  <si>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</si>
  <si>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</si>
  <si>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</si>
  <si>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</si>
  <si>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</si>
  <si>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</si>
  <si>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</si>
  <si>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</si>
  <si>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</si>
  <si>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</si>
  <si>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</si>
  <si>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</si>
  <si>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</si>
  <si>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</si>
  <si>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</si>
  <si>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</si>
  <si>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</si>
  <si>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</si>
  <si>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</si>
  <si>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</si>
  <si>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</si>
  <si>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</si>
  <si>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</si>
  <si>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</si>
  <si>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</si>
  <si>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</si>
  <si>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</si>
  <si>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</si>
  <si>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</si>
  <si>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</si>
  <si>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</si>
  <si>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</si>
  <si>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</si>
  <si>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</si>
  <si>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</si>
  <si>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</si>
  <si>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</si>
  <si>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</si>
  <si>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</si>
  <si>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</si>
  <si>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</si>
  <si>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</si>
  <si>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</si>
  <si>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</si>
  <si>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</si>
  <si>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</si>
  <si>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</si>
  <si>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</si>
  <si>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</si>
  <si>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</si>
  <si>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</si>
  <si>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</si>
  <si>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</si>
  <si>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</si>
  <si>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</si>
  <si>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</si>
  <si>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</si>
  <si>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</si>
  <si>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</si>
  <si>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</si>
  <si>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</si>
  <si>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</si>
  <si>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</si>
  <si>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</si>
  <si>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</si>
  <si>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</si>
  <si>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</si>
  <si>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</si>
  <si>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</si>
  <si>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</si>
  <si>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</si>
  <si>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</si>
  <si>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</si>
  <si>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</si>
  <si>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</si>
  <si>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</si>
  <si>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</si>
  <si>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</si>
  <si>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</si>
  <si>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</si>
  <si>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</si>
  <si>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</si>
  <si>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</si>
  <si>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</si>
  <si>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</si>
  <si>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</si>
  <si>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</si>
  <si>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</si>
  <si>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</si>
  <si>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</si>
  <si>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</si>
  <si>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</si>
  <si>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</si>
  <si>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</si>
  <si>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</si>
  <si>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</si>
  <si>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</si>
  <si>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</si>
  <si>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</si>
  <si>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</si>
  <si>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</si>
  <si>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</si>
  <si>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</si>
  <si>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</si>
  <si>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</si>
  <si>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</si>
  <si>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</si>
  <si>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</si>
  <si>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</si>
  <si>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</si>
  <si>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</si>
  <si>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</si>
  <si>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</si>
  <si>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</si>
  <si>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</si>
  <si>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</si>
  <si>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</si>
  <si>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</si>
  <si>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</si>
  <si>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</si>
  <si>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</si>
  <si>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</si>
  <si>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</si>
  <si>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</si>
  <si>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</si>
  <si>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</si>
  <si>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</si>
  <si>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</si>
  <si>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</si>
  <si>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</si>
  <si>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</si>
  <si>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</si>
  <si>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</si>
  <si>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</si>
  <si>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</si>
  <si>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</si>
  <si>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</si>
  <si>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</si>
  <si>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</si>
  <si>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</si>
  <si>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</si>
  <si>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</si>
  <si>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</si>
  <si>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</si>
  <si>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</si>
  <si>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</si>
  <si>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</si>
  <si>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</si>
  <si>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</si>
  <si>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</si>
  <si>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</si>
  <si>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</si>
  <si>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</si>
  <si>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</si>
  <si>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</si>
  <si>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</si>
  <si>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</si>
  <si>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</si>
  <si>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</si>
  <si>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</si>
  <si>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</si>
  <si>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</si>
  <si>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</si>
  <si>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</si>
  <si>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</si>
  <si>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</si>
  <si>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</si>
  <si>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</si>
  <si>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</si>
  <si>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</si>
  <si>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</si>
  <si>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</si>
  <si>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</si>
  <si>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</si>
  <si>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</si>
  <si>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</si>
  <si>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</si>
  <si>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</si>
  <si>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</si>
  <si>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</si>
  <si>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</si>
  <si>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</si>
  <si>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</si>
  <si>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</si>
  <si>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</si>
  <si>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</si>
  <si>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</si>
  <si>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</si>
  <si>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</si>
  <si>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</si>
  <si>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</si>
  <si>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</si>
  <si>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</si>
  <si>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</si>
  <si>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</si>
  <si>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</si>
  <si>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</si>
  <si>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</si>
  <si>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</si>
  <si>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</si>
  <si>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</si>
  <si>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</si>
  <si>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</si>
  <si>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</si>
  <si>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</si>
  <si>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</si>
  <si>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</si>
  <si>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</si>
  <si>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</si>
  <si>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</si>
  <si>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</si>
  <si>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</si>
  <si>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</si>
  <si>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</si>
  <si>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</si>
  <si>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</si>
  <si>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</si>
  <si>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</si>
  <si>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</si>
  <si>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</si>
  <si>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</si>
  <si>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</si>
  <si>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</si>
  <si>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</si>
  <si>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</si>
  <si>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</si>
  <si>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</si>
  <si>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</si>
  <si>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</si>
  <si>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</si>
  <si>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</si>
  <si>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</si>
  <si>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</si>
  <si>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</si>
  <si>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</si>
  <si>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</si>
  <si>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</si>
  <si>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</si>
  <si>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</si>
  <si>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</si>
  <si>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</si>
  <si>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</si>
  <si>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</si>
  <si>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</si>
  <si>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</si>
  <si>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</si>
  <si>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</si>
  <si>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</si>
  <si>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</si>
  <si>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</si>
  <si>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</si>
  <si>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</si>
  <si>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</si>
  <si>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</si>
  <si>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</si>
  <si>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</si>
  <si>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</si>
  <si>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</si>
  <si>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</si>
  <si>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</si>
  <si>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</si>
  <si>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</si>
  <si>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</si>
  <si>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</si>
  <si>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</si>
  <si>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</si>
  <si>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</si>
  <si>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</si>
  <si>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</si>
  <si>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</si>
  <si>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</si>
  <si>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</si>
  <si>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</si>
  <si>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</si>
  <si>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</si>
  <si>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</si>
  <si>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</si>
  <si>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</si>
  <si>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</si>
  <si>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</si>
  <si>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</si>
  <si>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</si>
  <si>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</si>
  <si>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</si>
  <si>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</si>
  <si>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</si>
  <si>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</si>
  <si>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</si>
  <si>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</si>
  <si>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</si>
  <si>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</si>
  <si>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</si>
  <si>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</si>
  <si>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</si>
  <si>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</si>
  <si>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</si>
  <si>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</si>
  <si>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</si>
  <si>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</si>
  <si>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</si>
  <si>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</si>
  <si>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</si>
  <si>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</si>
  <si>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</si>
  <si>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</si>
  <si>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</si>
  <si>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</si>
  <si>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</si>
  <si>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</si>
  <si>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</si>
  <si>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</si>
  <si>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</si>
  <si>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</si>
  <si>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</si>
  <si>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</si>
  <si>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</si>
  <si>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</si>
  <si>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</si>
  <si>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</si>
  <si>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</si>
  <si>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</si>
  <si>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</si>
  <si>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</si>
  <si>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</si>
  <si>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</si>
  <si>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</si>
  <si>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</si>
  <si>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</si>
  <si>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</si>
  <si>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</si>
  <si>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</si>
  <si>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</si>
  <si>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</si>
  <si>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</si>
  <si>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</si>
  <si>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</si>
  <si>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</si>
  <si>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</si>
  <si>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</si>
  <si>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</si>
  <si>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</si>
  <si>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</si>
  <si>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</si>
  <si>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</si>
  <si>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</si>
  <si>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</si>
  <si>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</si>
  <si>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</si>
  <si>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</si>
  <si>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</si>
  <si>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</si>
  <si>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</si>
  <si>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</si>
  <si>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</si>
  <si>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</si>
  <si>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</si>
  <si>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</si>
  <si>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</si>
  <si>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</si>
  <si>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</si>
  <si>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</si>
  <si>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</si>
  <si>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</si>
  <si>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</si>
  <si>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</si>
  <si>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</si>
  <si>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</si>
  <si>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</si>
  <si>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</si>
  <si>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</si>
  <si>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</si>
  <si>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</si>
  <si>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</si>
  <si>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</si>
  <si>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</si>
  <si>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</si>
  <si>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</si>
  <si>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</si>
  <si>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</si>
  <si>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</si>
  <si>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</si>
  <si>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</si>
  <si>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</si>
  <si>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</si>
  <si>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</si>
  <si>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</si>
  <si>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</si>
  <si>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</si>
  <si>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</si>
  <si>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</si>
  <si>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</si>
  <si>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</si>
  <si>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</si>
  <si>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</si>
  <si>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</si>
  <si>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</si>
  <si>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</si>
  <si>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</si>
  <si>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</si>
  <si>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</si>
  <si>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</si>
  <si>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</si>
  <si>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</si>
  <si>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</si>
  <si>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</si>
  <si>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</si>
  <si>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</si>
  <si>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</si>
  <si>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</si>
  <si>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</si>
  <si>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</si>
  <si>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</si>
  <si>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</si>
  <si>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</si>
  <si>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</si>
  <si>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</si>
  <si>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</si>
  <si>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</si>
  <si>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</si>
  <si>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</si>
  <si>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</si>
  <si>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</si>
  <si>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</si>
  <si>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</si>
  <si>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</si>
  <si>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</si>
  <si>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</si>
  <si>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</si>
  <si>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</si>
  <si>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</si>
  <si>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</si>
  <si>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</si>
  <si>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</si>
  <si>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</si>
  <si>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</si>
  <si>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</si>
  <si>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</si>
  <si>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</si>
  <si>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</si>
  <si>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</si>
  <si>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</si>
  <si>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</si>
  <si>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</si>
  <si>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</si>
  <si>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</si>
  <si>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</si>
  <si>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</si>
  <si>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</si>
  <si>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</si>
  <si>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</si>
  <si>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</si>
  <si>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</si>
  <si>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</si>
  <si>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</si>
  <si>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</si>
  <si>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</si>
  <si>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</si>
  <si>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</si>
  <si>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</si>
  <si>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</si>
  <si>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</si>
  <si>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</si>
  <si>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</si>
  <si>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</si>
  <si>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</si>
  <si>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</si>
  <si>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</si>
  <si>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</si>
  <si>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</si>
  <si>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</si>
  <si>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</si>
  <si>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</si>
  <si>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</si>
  <si>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</si>
  <si>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</si>
  <si>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</si>
  <si>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</si>
  <si>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</si>
  <si>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</si>
  <si>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</si>
  <si>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</si>
  <si>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</si>
  <si>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</si>
  <si>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</si>
  <si>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</si>
  <si>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</si>
  <si>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</si>
  <si>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</si>
  <si>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</si>
  <si>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</si>
  <si>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</si>
  <si>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</si>
  <si>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</si>
  <si>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</si>
  <si>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</si>
  <si>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</si>
  <si>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</si>
  <si>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</si>
  <si>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</si>
  <si>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</si>
  <si>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</si>
  <si>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</si>
  <si>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</si>
  <si>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</si>
  <si>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</si>
  <si>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</si>
  <si>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</si>
  <si>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</si>
  <si>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</si>
  <si>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</si>
  <si>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</si>
  <si>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</si>
  <si>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</si>
  <si>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</si>
  <si>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</si>
  <si>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</si>
  <si>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</si>
  <si>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</si>
  <si>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</si>
  <si>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</si>
  <si>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</si>
  <si>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</si>
  <si>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</si>
  <si>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</si>
  <si>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</si>
  <si>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</si>
  <si>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</si>
  <si>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</si>
  <si>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</si>
  <si>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</si>
  <si>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</si>
  <si>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</si>
  <si>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</si>
  <si>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</si>
  <si>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</si>
  <si>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</si>
  <si>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</si>
  <si>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</si>
  <si>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</si>
  <si>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</si>
  <si>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</si>
  <si>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</si>
  <si>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</si>
  <si>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</si>
  <si>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</si>
  <si>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</si>
  <si>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</si>
  <si>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</si>
  <si>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</si>
  <si>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</si>
  <si>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</si>
  <si>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</si>
  <si>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</si>
  <si>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</si>
  <si>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</si>
  <si>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</si>
  <si>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</si>
  <si>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</si>
  <si>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</si>
  <si>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</si>
  <si>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</si>
  <si>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</si>
  <si>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</si>
  <si>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</si>
  <si>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</si>
  <si>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</si>
  <si>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</si>
  <si>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</si>
  <si>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</si>
  <si>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</si>
  <si>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</si>
  <si>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</si>
  <si>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</si>
  <si>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</si>
  <si>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</si>
  <si>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</si>
  <si>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</si>
  <si>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</si>
  <si>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</si>
  <si>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</si>
  <si>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</si>
  <si>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</si>
  <si>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</si>
  <si>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</si>
  <si>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</si>
  <si>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</si>
  <si>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</si>
  <si>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</si>
  <si>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</si>
  <si>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</si>
  <si>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</si>
  <si>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</si>
  <si>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</si>
  <si>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</si>
  <si>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</si>
  <si>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</si>
  <si>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</si>
  <si>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</si>
  <si>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</si>
  <si>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</si>
  <si>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</si>
  <si>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</si>
  <si>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</si>
  <si>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</si>
  <si>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</si>
  <si>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</si>
  <si>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</si>
  <si>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</si>
  <si>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</si>
  <si>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</si>
  <si>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</si>
  <si>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</si>
  <si>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</si>
  <si>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</si>
  <si>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</si>
  <si>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</si>
  <si>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</si>
  <si>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</si>
  <si>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</si>
  <si>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</si>
  <si>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</si>
  <si>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</si>
  <si>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</si>
  <si>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</si>
  <si>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</si>
  <si>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</si>
  <si>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</si>
  <si>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</si>
  <si>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</si>
  <si>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</si>
  <si>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</si>
  <si>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</si>
  <si>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</si>
  <si>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</si>
  <si>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</si>
  <si>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</si>
  <si>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</si>
  <si>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</si>
  <si>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</si>
  <si>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</si>
  <si>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</si>
  <si>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</si>
  <si>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</si>
  <si>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</si>
  <si>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</si>
  <si>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</si>
  <si>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</si>
  <si>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</si>
  <si>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</si>
  <si>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</si>
  <si>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</si>
  <si>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</si>
  <si>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</si>
  <si>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</si>
  <si>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</si>
  <si>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</si>
  <si>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</si>
  <si>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</si>
  <si>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</si>
  <si>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</si>
  <si>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</si>
  <si>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</si>
  <si>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</si>
  <si>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</si>
  <si>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</si>
  <si>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</si>
  <si>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</si>
  <si>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</si>
  <si>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</si>
  <si>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</si>
  <si>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</si>
  <si>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</si>
  <si>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</si>
  <si>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</si>
  <si>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</si>
  <si>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</si>
  <si>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</si>
  <si>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</si>
  <si>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</si>
  <si>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</si>
  <si>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</si>
  <si>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</si>
  <si>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</si>
  <si>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</si>
  <si>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</si>
  <si>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</si>
  <si>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</si>
  <si>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</si>
  <si>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</si>
  <si>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</si>
  <si>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</si>
  <si>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</si>
  <si>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</si>
  <si>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</si>
  <si>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</si>
  <si>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</si>
  <si>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</si>
  <si>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</si>
  <si>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</si>
  <si>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</si>
  <si>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</si>
  <si>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</si>
  <si>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</si>
  <si>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</si>
  <si>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</si>
  <si>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</si>
  <si>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</si>
  <si>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</si>
  <si>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</si>
  <si>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</si>
  <si>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</si>
  <si>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</si>
  <si>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</si>
  <si>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</si>
  <si>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</si>
  <si>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</si>
  <si>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</si>
  <si>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</si>
  <si>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</si>
  <si>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</si>
  <si>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</si>
  <si>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</si>
  <si>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</si>
  <si>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</si>
  <si>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</si>
  <si>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</si>
  <si>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</si>
  <si>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</si>
  <si>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</si>
  <si>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</si>
  <si>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</si>
  <si>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</si>
  <si>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</si>
  <si>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</si>
  <si>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</si>
  <si>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</si>
  <si>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</si>
  <si>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</si>
  <si>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</si>
  <si>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</si>
  <si>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</si>
  <si>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</si>
  <si>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</si>
  <si>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</si>
  <si>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</si>
  <si>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</si>
  <si>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</si>
  <si>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</si>
  <si>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</si>
  <si>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</si>
  <si>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</si>
  <si>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</si>
  <si>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</si>
  <si>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</si>
  <si>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</si>
  <si>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</si>
  <si>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</si>
  <si>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</si>
  <si>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</si>
  <si>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</si>
  <si>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</si>
  <si>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</si>
  <si>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</si>
  <si>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</si>
  <si>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</si>
  <si>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</si>
  <si>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</si>
  <si>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</si>
  <si>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</si>
  <si>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</si>
  <si>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</si>
  <si>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</si>
  <si>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</si>
  <si>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</si>
  <si>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</si>
  <si>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</si>
  <si>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</si>
  <si>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</si>
  <si>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</si>
  <si>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</si>
  <si>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</si>
  <si>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</si>
  <si>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</si>
  <si>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</si>
  <si>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</si>
  <si>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</si>
  <si>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</si>
  <si>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</si>
  <si>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</si>
  <si>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</si>
  <si>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</si>
  <si>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</si>
  <si>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</si>
  <si>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</si>
  <si>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</si>
  <si>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</si>
  <si>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</si>
  <si>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</si>
  <si>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</si>
  <si>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</si>
  <si>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</si>
  <si>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</si>
  <si>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</si>
  <si>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</si>
  <si>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</si>
  <si>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</si>
  <si>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</si>
  <si>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</si>
  <si>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</si>
  <si>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</si>
  <si>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</si>
  <si>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</si>
  <si>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</si>
  <si>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</si>
  <si>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</si>
  <si>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</si>
  <si>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</si>
  <si>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</si>
  <si>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</si>
  <si>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</si>
  <si>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</si>
  <si>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</si>
  <si>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</si>
  <si>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</si>
  <si>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</si>
  <si>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</si>
  <si>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</si>
  <si>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</si>
  <si>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</si>
  <si>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</si>
  <si>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</si>
  <si>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</si>
  <si>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</si>
  <si>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</si>
  <si>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</si>
  <si>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</si>
  <si>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</si>
  <si>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</si>
  <si>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</si>
  <si>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</si>
  <si>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</si>
  <si>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</si>
  <si>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</si>
  <si>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</si>
  <si>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</si>
  <si>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</si>
  <si>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</si>
  <si>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</si>
  <si>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</si>
  <si>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</si>
  <si>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</si>
  <si>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</si>
  <si>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</si>
  <si>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</si>
  <si>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</si>
  <si>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</si>
  <si>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</si>
  <si>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</si>
  <si>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</si>
  <si>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</si>
  <si>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</si>
  <si>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</si>
  <si>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</si>
  <si>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</si>
  <si>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</si>
  <si>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</si>
  <si>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</si>
  <si>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</si>
  <si>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</si>
  <si>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</si>
  <si>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</si>
  <si>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</si>
  <si>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</si>
  <si>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</si>
  <si>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</si>
  <si>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</si>
  <si>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</si>
  <si>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</si>
  <si>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</si>
  <si>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</si>
  <si>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</si>
  <si>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</si>
  <si>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</si>
  <si>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</si>
  <si>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</si>
  <si>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</si>
  <si>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</si>
  <si>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</si>
  <si>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</si>
  <si>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</si>
  <si>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</si>
  <si>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</si>
  <si>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</si>
  <si>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</si>
  <si>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</si>
  <si>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</si>
  <si>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</si>
  <si>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</si>
  <si>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</si>
  <si>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</si>
  <si>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</si>
  <si>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</si>
  <si>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</si>
  <si>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</si>
  <si>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</si>
  <si>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</si>
  <si>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</si>
  <si>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</si>
  <si>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</si>
  <si>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</si>
  <si>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</si>
  <si>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</si>
  <si>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</si>
  <si>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</si>
  <si>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</si>
  <si>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</si>
  <si>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</si>
  <si>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</si>
  <si>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</si>
  <si>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</si>
  <si>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</si>
  <si>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</si>
  <si>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</si>
  <si>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</si>
  <si>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</si>
  <si>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</si>
  <si>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</si>
  <si>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</si>
  <si>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</si>
  <si>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</si>
  <si>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</si>
  <si>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</si>
  <si>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</si>
  <si>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</si>
  <si>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</si>
  <si>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</si>
  <si>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</si>
  <si>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</si>
  <si>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</si>
  <si>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</si>
  <si>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</si>
  <si>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</si>
  <si>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</si>
  <si>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</si>
  <si>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</si>
  <si>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</si>
  <si>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</si>
  <si>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</si>
  <si>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</si>
  <si>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</si>
  <si>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</si>
  <si>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</si>
  <si>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</si>
  <si>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</si>
  <si>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</si>
  <si>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</si>
  <si>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</si>
  <si>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</si>
  <si>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</si>
  <si>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</si>
  <si>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</si>
  <si>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</si>
  <si>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</si>
  <si>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</si>
  <si>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</si>
  <si>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</si>
  <si>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</si>
  <si>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</si>
  <si>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</si>
  <si>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</si>
  <si>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</si>
  <si>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</si>
  <si>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</si>
  <si>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</si>
  <si>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</si>
  <si>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</si>
  <si>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</si>
  <si>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</si>
  <si>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</si>
  <si>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</si>
  <si>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</si>
  <si>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</si>
  <si>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</si>
  <si>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</si>
  <si>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</si>
  <si>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</si>
  <si>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</si>
  <si>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</si>
  <si>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</si>
  <si>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</si>
  <si>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</si>
  <si>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</si>
  <si>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</si>
  <si>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</si>
  <si>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</si>
  <si>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</si>
  <si>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</si>
  <si>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</si>
  <si>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</si>
  <si>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</si>
  <si>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</si>
  <si>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</si>
  <si>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</si>
  <si>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</si>
  <si>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</si>
  <si>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</si>
  <si>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</si>
  <si>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</si>
  <si>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</si>
  <si>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</si>
  <si>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</si>
  <si>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</si>
  <si>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</si>
  <si>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</si>
  <si>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</si>
  <si>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</si>
  <si>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</si>
  <si>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</si>
  <si>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</si>
  <si>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</si>
  <si>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</si>
  <si>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</si>
  <si>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</si>
  <si>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</si>
  <si>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</si>
  <si>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</si>
  <si>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</si>
  <si>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</si>
  <si>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</si>
  <si>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</si>
  <si>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</si>
  <si>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</si>
  <si>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</si>
  <si>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</si>
  <si>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</si>
  <si>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</si>
  <si>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</si>
  <si>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</si>
  <si>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</si>
  <si>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</si>
  <si>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</si>
  <si>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</si>
  <si>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</si>
  <si>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</si>
  <si>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</si>
  <si>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</si>
  <si>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</si>
  <si>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</si>
  <si>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</si>
  <si>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</si>
  <si>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</si>
  <si>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</si>
  <si>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</si>
  <si>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</si>
  <si>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</si>
  <si>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</si>
  <si>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</si>
  <si>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</si>
  <si>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</si>
  <si>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</si>
  <si>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</si>
  <si>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</si>
  <si>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</si>
  <si>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</si>
  <si>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</si>
  <si>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</si>
  <si>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</si>
  <si>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</si>
  <si>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</si>
  <si>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</si>
  <si>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</si>
  <si>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</si>
  <si>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</si>
  <si>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</si>
  <si>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</si>
  <si>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</si>
  <si>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</si>
  <si>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</si>
  <si>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</si>
  <si>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</si>
  <si>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</si>
  <si>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</si>
  <si>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</si>
  <si>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</si>
  <si>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</si>
  <si>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</si>
  <si>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</si>
  <si>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</si>
  <si>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</si>
  <si>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</si>
  <si>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</si>
  <si>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</si>
  <si>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</si>
  <si>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</si>
  <si>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</si>
  <si>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</si>
  <si>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</si>
  <si>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</si>
  <si>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</si>
  <si>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</si>
  <si>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</si>
  <si>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</si>
  <si>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</si>
  <si>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</si>
  <si>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</si>
  <si>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</si>
  <si>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</si>
  <si>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</si>
  <si>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</si>
  <si>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</si>
  <si>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</si>
  <si>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</si>
  <si>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</si>
  <si>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</si>
  <si>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</si>
  <si>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</si>
  <si>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</si>
  <si>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</si>
  <si>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</si>
  <si>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</si>
  <si>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</si>
  <si>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</si>
  <si>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</si>
  <si>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</si>
  <si>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</si>
  <si>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</si>
  <si>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</si>
  <si>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</si>
  <si>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</si>
  <si>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</si>
  <si>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</si>
  <si>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</si>
  <si>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</si>
  <si>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</si>
  <si>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</si>
  <si>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</si>
  <si>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</si>
  <si>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</si>
  <si>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</si>
  <si>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</si>
  <si>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</si>
  <si>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</si>
  <si>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</si>
  <si>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</si>
  <si>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</si>
  <si>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</si>
  <si>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</si>
  <si>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</si>
  <si>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</si>
  <si>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</si>
  <si>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</si>
  <si>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</si>
  <si>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</si>
  <si>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</si>
  <si>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</si>
  <si>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</si>
  <si>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</si>
  <si>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</si>
  <si>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</si>
  <si>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</si>
  <si>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</si>
  <si>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</si>
  <si>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</si>
  <si>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</si>
  <si>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</si>
  <si>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</si>
  <si>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</si>
  <si>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</si>
  <si>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</si>
  <si>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</si>
  <si>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</si>
  <si>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</si>
  <si>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</si>
  <si>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</si>
  <si>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</si>
  <si>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</si>
  <si>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</si>
  <si>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</si>
  <si>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</si>
  <si>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</si>
  <si>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</si>
  <si>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</si>
  <si>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</si>
  <si>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</si>
  <si>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</si>
  <si>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</si>
  <si>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</si>
  <si>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</si>
  <si>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</si>
  <si>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</si>
  <si>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</si>
  <si>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</si>
  <si>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</si>
  <si>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</si>
  <si>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</si>
  <si>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</si>
  <si>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</si>
  <si>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</si>
  <si>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</si>
  <si>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</si>
  <si>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</si>
  <si>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</si>
  <si>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</si>
  <si>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</si>
  <si>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</si>
  <si>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</si>
  <si>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</si>
  <si>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</si>
  <si>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</si>
  <si>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</si>
  <si>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</si>
  <si>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</si>
  <si>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</si>
  <si>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</si>
  <si>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</si>
  <si>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</si>
  <si>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</si>
  <si>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</si>
  <si>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</si>
  <si>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</si>
  <si>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</si>
  <si>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</si>
  <si>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</si>
  <si>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</si>
  <si>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</si>
  <si>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</si>
  <si>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</si>
  <si>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</si>
  <si>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</si>
  <si>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</si>
  <si>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</si>
  <si>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</si>
  <si>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</si>
  <si>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</si>
  <si>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</si>
  <si>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</si>
  <si>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</si>
  <si>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</si>
  <si>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</si>
  <si>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</si>
  <si>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</si>
  <si>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</si>
  <si>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</si>
  <si>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</si>
  <si>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</si>
  <si>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</si>
  <si>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</si>
  <si>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</si>
  <si>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</si>
  <si>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</si>
  <si>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</si>
  <si>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</si>
  <si>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</si>
  <si>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</si>
  <si>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</si>
  <si>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</si>
  <si>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</si>
  <si>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</si>
  <si>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</si>
  <si>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</si>
  <si>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</si>
  <si>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</si>
  <si>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</si>
  <si>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</si>
  <si>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</si>
  <si>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</si>
  <si>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</si>
  <si>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</si>
  <si>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</si>
  <si>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</si>
  <si>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</si>
  <si>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</si>
  <si>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</si>
  <si>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</si>
  <si>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</si>
  <si>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</si>
  <si>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</si>
  <si>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</si>
  <si>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</si>
  <si>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</si>
  <si>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</si>
  <si>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</si>
  <si>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</si>
  <si>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</si>
  <si>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</si>
  <si>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</si>
  <si>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</si>
  <si>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</si>
  <si>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</si>
  <si>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</si>
  <si>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</si>
  <si>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</si>
  <si>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</si>
  <si>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</si>
  <si>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</si>
  <si>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</si>
  <si>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</si>
  <si>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</si>
  <si>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</si>
  <si>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</si>
  <si>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</si>
  <si>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</si>
  <si>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</si>
  <si>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</si>
  <si>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</si>
  <si>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</si>
  <si>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</si>
  <si>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</si>
  <si>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</si>
  <si>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</si>
  <si>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</si>
  <si>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</si>
  <si>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</si>
  <si>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</si>
  <si>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</si>
  <si>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</si>
  <si>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</si>
  <si>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</si>
  <si>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</si>
  <si>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</si>
  <si>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</si>
  <si>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</si>
  <si>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</si>
  <si>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</si>
  <si>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</si>
  <si>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</si>
  <si>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</si>
  <si>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</si>
  <si>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</si>
  <si>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</si>
  <si>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</si>
  <si>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</si>
  <si>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</si>
  <si>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</si>
  <si>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</si>
  <si>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</si>
  <si>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</si>
  <si>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</si>
  <si>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</si>
  <si>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</si>
  <si>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</si>
  <si>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</si>
  <si>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</si>
  <si>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</si>
  <si>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</si>
  <si>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</si>
  <si>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</si>
  <si>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</si>
  <si>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</si>
  <si>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</si>
  <si>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</si>
  <si>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</si>
  <si>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</si>
  <si>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</si>
  <si>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</si>
  <si>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</si>
  <si>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</si>
  <si>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</si>
  <si>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</si>
  <si>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</si>
  <si>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</si>
  <si>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</si>
  <si>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</si>
  <si>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</si>
  <si>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</si>
  <si>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</si>
  <si>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</si>
  <si>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</si>
  <si>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</si>
  <si>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</si>
  <si>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</si>
  <si>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</si>
  <si>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</si>
  <si>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</si>
  <si>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</si>
  <si>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</si>
  <si>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</si>
  <si>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</si>
  <si>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</si>
  <si>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</si>
  <si>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</si>
  <si>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</si>
  <si>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</si>
  <si>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</si>
  <si>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</si>
  <si>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</si>
  <si>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</si>
  <si>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</si>
  <si>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</si>
  <si>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</si>
  <si>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</si>
  <si>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</si>
  <si>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</si>
  <si>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</si>
  <si>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</si>
  <si>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</si>
  <si>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</si>
  <si>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</si>
  <si>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</si>
  <si>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</si>
  <si>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</si>
  <si>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</si>
  <si>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</si>
  <si>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</si>
  <si>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</si>
  <si>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</si>
  <si>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</si>
  <si>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</si>
  <si>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</si>
  <si>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</si>
  <si>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</si>
  <si>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</si>
  <si>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</si>
  <si>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</si>
  <si>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</si>
  <si>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</si>
  <si>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</si>
  <si>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</si>
  <si>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</si>
  <si>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</si>
  <si>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</si>
  <si>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</si>
  <si>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</si>
  <si>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</si>
  <si>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</si>
  <si>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</si>
  <si>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</si>
  <si>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</si>
  <si>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</si>
  <si>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</si>
  <si>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</si>
  <si>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</si>
  <si>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</si>
  <si>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</si>
  <si>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</si>
  <si>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</si>
  <si>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</si>
  <si>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</si>
  <si>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</si>
  <si>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</si>
  <si>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</si>
  <si>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</si>
  <si>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</si>
  <si>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</si>
  <si>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</si>
  <si>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</si>
  <si>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</si>
  <si>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</si>
  <si>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</si>
  <si>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</si>
  <si>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</si>
  <si>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</si>
  <si>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</si>
  <si>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</si>
  <si>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</si>
  <si>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</si>
  <si>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</si>
  <si>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</si>
  <si>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</si>
  <si>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</si>
  <si>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</si>
  <si>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</si>
  <si>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</si>
  <si>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</si>
  <si>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</si>
  <si>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</si>
  <si>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</si>
  <si>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</si>
  <si>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</si>
  <si>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</si>
  <si>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</si>
  <si>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</si>
  <si>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</si>
  <si>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</si>
  <si>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</si>
  <si>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</si>
  <si>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</si>
  <si>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</si>
  <si>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</si>
  <si>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</si>
  <si>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</si>
  <si>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</si>
  <si>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</si>
  <si>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</si>
  <si>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</si>
  <si>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</si>
  <si>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</si>
  <si>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</si>
  <si>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</si>
  <si>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</si>
  <si>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</si>
  <si>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</si>
  <si>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</si>
  <si>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</si>
  <si>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</si>
  <si>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</si>
  <si>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</si>
  <si>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</si>
  <si>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</si>
  <si>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</si>
  <si>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</si>
  <si>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</si>
  <si>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</si>
  <si>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</si>
  <si>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</si>
  <si>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</si>
  <si>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</si>
  <si>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</si>
  <si>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</si>
  <si>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</si>
  <si>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</si>
  <si>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</si>
  <si>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</si>
  <si>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</si>
  <si>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</si>
  <si>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</si>
  <si>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</si>
  <si>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</si>
  <si>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</si>
  <si>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</si>
  <si>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</si>
  <si>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</si>
  <si>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</si>
  <si>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</si>
  <si>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</si>
  <si>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</si>
  <si>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</si>
  <si>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</si>
  <si>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</si>
  <si>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</si>
  <si>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</si>
  <si>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</si>
  <si>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</si>
  <si>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</si>
  <si>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</si>
  <si>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</si>
  <si>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</si>
  <si>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</si>
  <si>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</si>
  <si>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</si>
  <si>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</si>
  <si>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</si>
  <si>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</si>
  <si>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</si>
  <si>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</si>
  <si>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</si>
  <si>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</si>
  <si>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</si>
  <si>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</si>
  <si>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</si>
  <si>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</si>
  <si>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</si>
  <si>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</si>
  <si>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</si>
  <si>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</si>
  <si>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</si>
  <si>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</si>
  <si>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</si>
  <si>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</si>
  <si>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</si>
  <si>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</si>
  <si>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</si>
  <si>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</si>
  <si>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</si>
  <si>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</si>
  <si>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</si>
  <si>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</si>
  <si>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</si>
  <si>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</si>
  <si>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</si>
  <si>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</si>
  <si>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</si>
  <si>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</si>
  <si>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</si>
  <si>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</si>
  <si>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</si>
  <si>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</si>
  <si>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</si>
  <si>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</si>
  <si>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</si>
  <si>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</si>
  <si>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</si>
  <si>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</si>
  <si>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</si>
  <si>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</si>
  <si>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</si>
  <si>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</si>
  <si>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</si>
  <si>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</si>
  <si>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</si>
  <si>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</si>
  <si>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</si>
  <si>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</si>
  <si>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</si>
  <si>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</si>
  <si>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</si>
  <si>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</si>
  <si>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</si>
  <si>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</si>
  <si>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</si>
  <si>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</si>
  <si>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</si>
  <si>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</si>
  <si>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</si>
  <si>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</si>
  <si>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</si>
  <si>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</si>
  <si>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</si>
  <si>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</si>
  <si>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</si>
  <si>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</si>
  <si>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</si>
  <si>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</si>
  <si>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</si>
  <si>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</si>
  <si>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</si>
  <si>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</si>
  <si>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</si>
  <si>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</si>
  <si>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</si>
  <si>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</si>
  <si>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</si>
  <si>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</si>
  <si>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</si>
  <si>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</si>
  <si>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</si>
  <si>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</si>
  <si>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</si>
  <si>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</si>
  <si>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</si>
  <si>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</si>
  <si>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</si>
  <si>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</si>
  <si>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</si>
  <si>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</si>
  <si>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</si>
  <si>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</si>
  <si>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</si>
  <si>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</si>
  <si>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</si>
  <si>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</si>
  <si>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</si>
  <si>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</si>
  <si>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</si>
  <si>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</si>
  <si>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</si>
  <si>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</si>
  <si>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</si>
  <si>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</si>
  <si>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</si>
  <si>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</si>
  <si>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</si>
  <si>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</si>
  <si>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</si>
  <si>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</si>
  <si>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</si>
  <si>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</si>
  <si>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</si>
  <si>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</si>
  <si>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</si>
  <si>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</si>
  <si>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</si>
  <si>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</si>
  <si>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</si>
  <si>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</si>
  <si>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</si>
  <si>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</si>
  <si>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</si>
  <si>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</si>
  <si>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</si>
  <si>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</si>
  <si>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</si>
  <si>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</si>
  <si>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</si>
  <si>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</si>
  <si>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</si>
  <si>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</si>
  <si>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</si>
  <si>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</si>
  <si>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</si>
  <si>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</si>
  <si>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</si>
  <si>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</si>
  <si>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</si>
  <si>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</si>
  <si>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</si>
  <si>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</si>
  <si>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</si>
  <si>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</si>
  <si>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</si>
  <si>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</si>
  <si>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</si>
  <si>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</si>
  <si>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</si>
  <si>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</si>
  <si>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</si>
  <si>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</si>
  <si>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</si>
  <si>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</si>
  <si>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</si>
  <si>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</si>
  <si>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</si>
  <si>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</si>
  <si>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</si>
  <si>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</si>
  <si>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</si>
  <si>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</si>
  <si>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</si>
  <si>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</si>
  <si>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</si>
  <si>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</si>
  <si>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</si>
  <si>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</si>
  <si>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</si>
  <si>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</si>
  <si>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</si>
  <si>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</si>
  <si>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</si>
  <si>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</si>
  <si>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</si>
  <si>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</si>
  <si>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</si>
  <si>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</si>
  <si>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</si>
  <si>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</si>
  <si>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</si>
  <si>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</si>
  <si>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</si>
  <si>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</si>
  <si>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</si>
  <si>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</si>
  <si>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</si>
  <si>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</si>
  <si>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</si>
  <si>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</si>
  <si>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</si>
  <si>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</si>
  <si>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</si>
  <si>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</si>
  <si>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</si>
  <si>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</si>
  <si>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</si>
  <si>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</si>
  <si>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</si>
  <si>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</si>
  <si>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</si>
  <si>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</si>
  <si>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</si>
  <si>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</si>
  <si>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</si>
  <si>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</si>
  <si>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</si>
  <si>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</si>
  <si>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</si>
  <si>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</si>
  <si>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</si>
  <si>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</si>
  <si>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</si>
  <si>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</si>
  <si>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</si>
  <si>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</si>
  <si>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</si>
  <si>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</si>
  <si>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</si>
  <si>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</si>
  <si>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</si>
  <si>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</si>
  <si>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</si>
  <si>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</si>
  <si>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</si>
  <si>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</si>
  <si>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</si>
  <si>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</si>
  <si>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</si>
  <si>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</si>
  <si>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</si>
  <si>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</si>
  <si>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</si>
  <si>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</si>
  <si>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</si>
  <si>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</si>
  <si>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</si>
  <si>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</si>
  <si>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</si>
  <si>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</si>
  <si>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</si>
  <si>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</si>
  <si>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</si>
  <si>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</si>
  <si>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</si>
  <si>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</si>
  <si>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</si>
  <si>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</si>
  <si>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</si>
  <si>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</si>
  <si>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</si>
  <si>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</si>
  <si>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</si>
  <si>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</si>
  <si>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</si>
  <si>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</si>
  <si>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</si>
  <si>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</si>
  <si>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</si>
  <si>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</si>
  <si>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</si>
  <si>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</si>
  <si>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</si>
  <si>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</si>
  <si>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</si>
  <si>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</si>
  <si>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</si>
  <si>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</si>
  <si>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</si>
  <si>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</si>
  <si>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</si>
  <si>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</si>
  <si>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</si>
  <si>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</si>
  <si>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</si>
  <si>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</si>
  <si>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</si>
  <si>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</si>
  <si>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</si>
  <si>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</si>
  <si>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</si>
  <si>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</si>
  <si>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</si>
  <si>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</si>
  <si>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</si>
  <si>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</si>
  <si>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</si>
  <si>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</si>
  <si>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</si>
  <si>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</si>
  <si>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</si>
  <si>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</si>
  <si>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</si>
  <si>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</si>
  <si>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</si>
  <si>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</si>
  <si>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</si>
  <si>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</si>
  <si>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</si>
  <si>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</si>
  <si>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</si>
  <si>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</si>
  <si>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</si>
  <si>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</si>
  <si>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</si>
  <si>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</si>
  <si>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</si>
  <si>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</si>
  <si>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</si>
  <si>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</si>
  <si>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</si>
  <si>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</si>
  <si>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</si>
  <si>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</si>
  <si>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</si>
  <si>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</si>
  <si>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</si>
  <si>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</si>
  <si>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</si>
  <si>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</si>
  <si>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</si>
  <si>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</si>
  <si>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</si>
  <si>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</si>
  <si>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</si>
  <si>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</si>
  <si>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</si>
  <si>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</si>
  <si>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</si>
  <si>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</si>
  <si>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</si>
  <si>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</si>
  <si>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</si>
  <si>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</si>
  <si>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</si>
  <si>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</si>
  <si>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</si>
  <si>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</si>
  <si>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</si>
  <si>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</si>
  <si>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</si>
  <si>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</si>
  <si>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</si>
  <si>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</si>
  <si>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</si>
  <si>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</si>
  <si>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</si>
  <si>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</si>
  <si>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</si>
  <si>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</si>
  <si>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</si>
  <si>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</si>
  <si>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</si>
  <si>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</si>
  <si>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</si>
  <si>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</si>
  <si>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</si>
  <si>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</si>
  <si>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</si>
  <si>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</si>
  <si>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</si>
  <si>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</si>
  <si>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</si>
  <si>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</si>
  <si>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</si>
  <si>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</si>
  <si>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</si>
  <si>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</si>
  <si>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</si>
  <si>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</si>
  <si>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</si>
  <si>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</si>
  <si>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</si>
  <si>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</si>
  <si>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</si>
  <si>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</si>
  <si>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</si>
  <si>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</si>
  <si>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</si>
  <si>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</si>
  <si>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</si>
  <si>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</si>
  <si>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</si>
  <si>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</si>
  <si>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</si>
  <si>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</si>
  <si>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</si>
  <si>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</si>
  <si>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</si>
  <si>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</si>
  <si>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</si>
  <si>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</si>
  <si>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</si>
  <si>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</si>
  <si>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</si>
  <si>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</si>
  <si>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</si>
  <si>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</si>
  <si>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</si>
  <si>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</si>
  <si>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</si>
  <si>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</si>
  <si>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</si>
  <si>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</si>
  <si>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</si>
  <si>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</si>
  <si>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</si>
  <si>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</si>
  <si>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</si>
  <si>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</si>
  <si>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</si>
  <si>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</si>
  <si>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</si>
  <si>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</si>
  <si>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</si>
  <si>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</si>
  <si>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</si>
  <si>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</si>
  <si>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</si>
  <si>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</si>
  <si>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</si>
  <si>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</si>
  <si>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</si>
  <si>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</si>
  <si>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</si>
  <si>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</si>
  <si>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</si>
  <si>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</si>
  <si>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</si>
  <si>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</si>
  <si>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</si>
  <si>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</si>
  <si>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</si>
  <si>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</si>
  <si>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</si>
  <si>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</si>
  <si>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</si>
  <si>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</si>
  <si>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</si>
  <si>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</si>
  <si>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</si>
  <si>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</si>
  <si>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</si>
  <si>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</si>
  <si>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</si>
  <si>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</si>
  <si>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</si>
  <si>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</si>
  <si>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</si>
  <si>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</si>
  <si>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</si>
  <si>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</si>
  <si>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</si>
  <si>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</si>
  <si>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</si>
  <si>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</si>
  <si>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</si>
  <si>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</si>
  <si>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</si>
  <si>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</si>
  <si>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</si>
  <si>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</si>
  <si>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</si>
  <si>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</si>
  <si>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</si>
  <si>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</si>
  <si>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</si>
  <si>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</si>
  <si>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</si>
  <si>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</si>
  <si>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</si>
  <si>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</si>
  <si>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</si>
  <si>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</si>
  <si>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</si>
  <si>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</si>
  <si>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</si>
  <si>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</si>
  <si>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</si>
  <si>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</si>
  <si>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</si>
  <si>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</si>
  <si>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</si>
  <si>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</si>
  <si>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</si>
  <si>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</si>
  <si>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</si>
  <si>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</si>
  <si>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</si>
  <si>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</si>
  <si>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</si>
  <si>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</si>
  <si>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</si>
  <si>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</si>
  <si>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</si>
  <si>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</si>
  <si>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</si>
  <si>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</si>
  <si>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</si>
  <si>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</si>
  <si>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</si>
  <si>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</si>
  <si>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</si>
  <si>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</si>
  <si>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</si>
  <si>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</si>
  <si>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</si>
  <si>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</si>
  <si>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</si>
  <si>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</si>
  <si>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</si>
  <si>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</si>
  <si>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</si>
  <si>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</si>
  <si>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</si>
  <si>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</si>
  <si>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</si>
  <si>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</si>
  <si>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</si>
  <si>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</si>
  <si>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</si>
  <si>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</si>
  <si>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</si>
  <si>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</si>
  <si>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</si>
  <si>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</si>
  <si>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</si>
  <si>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</si>
  <si>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</si>
  <si>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</si>
  <si>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</si>
  <si>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</si>
  <si>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</si>
  <si>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</si>
  <si>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</si>
  <si>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</si>
  <si>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</si>
  <si>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</si>
  <si>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</si>
  <si>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</si>
  <si>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</si>
  <si>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</si>
  <si>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</si>
  <si>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</si>
  <si>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</si>
  <si>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</si>
  <si>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</si>
  <si>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</si>
  <si>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</si>
  <si>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</si>
  <si>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</si>
  <si>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</si>
  <si>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</si>
  <si>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</si>
  <si>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</si>
  <si>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</si>
  <si>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</si>
  <si>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</si>
  <si>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</si>
  <si>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</si>
  <si>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</si>
  <si>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</si>
  <si>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</si>
  <si>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</si>
  <si>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</si>
  <si>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</si>
  <si>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</si>
  <si>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</si>
  <si>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</si>
  <si>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</si>
  <si>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</si>
  <si>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</si>
  <si>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</si>
  <si>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</si>
  <si>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</si>
  <si>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</si>
  <si>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</si>
  <si>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</si>
  <si>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</si>
  <si>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</si>
  <si>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</si>
  <si>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</si>
  <si>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</si>
  <si>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</si>
  <si>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</si>
  <si>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</si>
  <si>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</si>
  <si>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</si>
  <si>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</si>
  <si>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</si>
  <si>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</si>
  <si>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</si>
  <si>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</si>
  <si>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</si>
  <si>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</si>
  <si>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</si>
  <si>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</si>
  <si>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</si>
  <si>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</si>
  <si>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</si>
  <si>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</si>
  <si>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</si>
  <si>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</si>
  <si>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</si>
  <si>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</si>
  <si>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</si>
  <si>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</si>
  <si>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</si>
  <si>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</si>
  <si>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</si>
  <si>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</si>
  <si>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</si>
  <si>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</si>
  <si>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</si>
  <si>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</si>
  <si>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</si>
  <si>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</si>
  <si>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</si>
  <si>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</si>
  <si>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</si>
  <si>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</si>
  <si>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</si>
  <si>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</si>
  <si>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</si>
  <si>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</si>
  <si>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</si>
  <si>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</si>
  <si>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</si>
  <si>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</si>
  <si>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</si>
  <si>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</si>
  <si>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</si>
  <si>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</si>
  <si>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</si>
  <si>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</si>
  <si>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</si>
  <si>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</si>
  <si>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</si>
  <si>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</si>
  <si>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</si>
  <si>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</si>
  <si>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</si>
  <si>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</si>
  <si>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</si>
  <si>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</si>
  <si>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</si>
  <si>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</si>
  <si>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</si>
  <si>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</si>
  <si>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</si>
  <si>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</si>
  <si>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</si>
  <si>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</si>
  <si>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</si>
  <si>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</si>
  <si>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</si>
  <si>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</si>
  <si>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</si>
  <si>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</si>
  <si>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</si>
  <si>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</si>
  <si>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</si>
  <si>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</si>
  <si>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</si>
  <si>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</si>
  <si>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</si>
  <si>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</si>
  <si>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</si>
  <si>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</si>
  <si>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</si>
  <si>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</si>
  <si>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</si>
  <si>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</si>
  <si>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</si>
  <si>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</si>
  <si>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</si>
  <si>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</si>
  <si>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</si>
  <si>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</si>
  <si>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</si>
  <si>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</si>
  <si>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</si>
  <si>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</si>
  <si>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</si>
  <si>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</si>
  <si>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</si>
  <si>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</si>
  <si>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</si>
  <si>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</si>
  <si>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</si>
  <si>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</si>
  <si>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</si>
  <si>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</si>
  <si>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</si>
  <si>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</si>
  <si>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</si>
  <si>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</si>
  <si>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</si>
  <si>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</si>
  <si>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</si>
  <si>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</si>
  <si>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</si>
  <si>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</si>
  <si>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</si>
  <si>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</si>
  <si>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</si>
  <si>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</si>
  <si>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</si>
  <si>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</si>
  <si>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</si>
  <si>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</si>
  <si>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</si>
  <si>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</si>
  <si>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</si>
  <si>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</si>
  <si>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</si>
  <si>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</si>
  <si>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</si>
  <si>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</si>
  <si>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</si>
  <si>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</si>
  <si>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</si>
  <si>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</si>
  <si>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</si>
  <si>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</si>
  <si>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</si>
  <si>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</si>
  <si>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</si>
  <si>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</si>
  <si>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</si>
  <si>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</si>
  <si>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</si>
  <si>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</si>
  <si>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</si>
  <si>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</si>
  <si>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</si>
  <si>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</si>
  <si>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</si>
  <si>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</si>
  <si>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</si>
  <si>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</si>
  <si>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</si>
  <si>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</si>
  <si>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</si>
  <si>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</si>
  <si>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</si>
  <si>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</si>
  <si>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</si>
  <si>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</si>
  <si>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</si>
  <si>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</si>
  <si>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</si>
  <si>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</si>
  <si>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</si>
  <si>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</si>
  <si>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</si>
  <si>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</si>
  <si>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</si>
  <si>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</si>
  <si>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</si>
  <si>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</si>
  <si>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</si>
  <si>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</si>
  <si>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</si>
  <si>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</si>
  <si>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</si>
  <si>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</si>
  <si>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</si>
  <si>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</si>
  <si>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</si>
  <si>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</si>
  <si>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</si>
  <si>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</si>
  <si>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</si>
  <si>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</si>
  <si>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</si>
  <si>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</si>
  <si>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</si>
  <si>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</si>
  <si>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</si>
  <si>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</si>
  <si>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</si>
  <si>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</si>
  <si>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</si>
  <si>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</si>
  <si>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</si>
  <si>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</si>
  <si>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</si>
  <si>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</si>
  <si>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</si>
  <si>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</si>
  <si>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</si>
  <si>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</si>
  <si>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</si>
  <si>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</si>
  <si>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</si>
  <si>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</si>
  <si>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</si>
  <si>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</si>
  <si>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</si>
  <si>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</si>
  <si>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</si>
  <si>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</si>
  <si>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</si>
  <si>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</si>
  <si>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</si>
  <si>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</si>
  <si>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</si>
  <si>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</si>
  <si>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</si>
  <si>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</si>
  <si>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</si>
  <si>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</si>
  <si>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</si>
  <si>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</si>
  <si>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</si>
  <si>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</si>
  <si>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</si>
  <si>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</si>
  <si>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</si>
  <si>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</si>
  <si>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</si>
  <si>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</si>
  <si>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</si>
  <si>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</si>
  <si>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</si>
  <si>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</si>
  <si>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</si>
  <si>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</si>
  <si>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</si>
  <si>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</si>
  <si>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</si>
  <si>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</si>
  <si>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</si>
  <si>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</si>
  <si>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</si>
  <si>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</si>
  <si>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</si>
  <si>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</si>
  <si>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</si>
  <si>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</si>
  <si>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</si>
  <si>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</si>
  <si>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</si>
  <si>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</si>
  <si>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</si>
  <si>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</si>
  <si>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</si>
  <si>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</si>
  <si>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</si>
  <si>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</si>
  <si>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</si>
  <si>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</si>
  <si>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</si>
  <si>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</si>
  <si>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</si>
  <si>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</si>
  <si>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</si>
  <si>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</si>
  <si>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</si>
  <si>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</si>
  <si>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</si>
  <si>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</si>
  <si>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</si>
  <si>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</si>
  <si>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</si>
  <si>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</si>
  <si>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</si>
  <si>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</si>
  <si>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</si>
  <si>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</si>
  <si>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</si>
  <si>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</si>
  <si>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</si>
  <si>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</si>
  <si>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</si>
  <si>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</si>
  <si>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</si>
  <si>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</si>
  <si>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</si>
  <si>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</si>
  <si>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</si>
  <si>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</si>
  <si>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</si>
  <si>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</si>
  <si>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</si>
  <si>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</si>
  <si>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</si>
  <si>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</si>
  <si>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</si>
  <si>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</si>
  <si>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</si>
  <si>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</si>
  <si>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</si>
  <si>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</si>
  <si>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</si>
  <si>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</si>
  <si>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</si>
  <si>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</si>
  <si>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</si>
  <si>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</si>
  <si>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</si>
  <si>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</si>
  <si>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</si>
  <si>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</si>
  <si>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</si>
  <si>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</si>
  <si>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</si>
  <si>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</si>
  <si>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</si>
  <si>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</si>
  <si>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</si>
  <si>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</si>
  <si>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</si>
  <si>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</si>
  <si>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</si>
  <si>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</si>
  <si>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</si>
  <si>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</si>
  <si>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</si>
  <si>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</si>
  <si>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</si>
  <si>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</si>
  <si>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</si>
  <si>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</si>
  <si>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</si>
  <si>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</si>
  <si>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</si>
  <si>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</si>
  <si>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</si>
  <si>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</si>
  <si>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</si>
  <si>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</si>
  <si>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</si>
  <si>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</si>
  <si>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</si>
  <si>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</si>
  <si>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</si>
  <si>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</si>
  <si>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</si>
  <si>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</si>
  <si>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</si>
  <si>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</si>
  <si>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</si>
  <si>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</si>
  <si>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</si>
  <si>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</si>
  <si>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</si>
  <si>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</si>
  <si>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</si>
  <si>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</si>
  <si>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</si>
  <si>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</si>
  <si>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</si>
  <si>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</si>
  <si>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</si>
  <si>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</si>
  <si>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</si>
  <si>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</si>
  <si>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</si>
  <si>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</si>
  <si>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</si>
  <si>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</si>
  <si>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</si>
  <si>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</si>
  <si>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</si>
  <si>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</si>
  <si>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</si>
  <si>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</si>
  <si>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</si>
  <si>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</si>
  <si>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</si>
  <si>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</si>
  <si>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</si>
  <si>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</si>
  <si>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</si>
  <si>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</si>
  <si>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</si>
  <si>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</si>
  <si>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</si>
  <si>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</si>
  <si>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</si>
  <si>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</si>
  <si>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</si>
  <si>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</si>
  <si>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</si>
  <si>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</si>
  <si>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ANTOINE ROBE</t>
  </si>
  <si>
    <t xml:space="preserve">LE GRAND HERS</t>
  </si>
  <si>
    <t xml:space="preserve">LE GRAND HERS EN AMONT DE LA VIXIEGE</t>
  </si>
  <si>
    <t xml:space="preserve">05167008</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</si>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</sst>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42618</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9.79411764705882</v>
      </c>
      <c r="N5" s="324"/>
      <c r="O5" s="325" t="s">
        <v>303</v>
      </c>
      <c r="P5" s="326" t="n">
        <v>9.67741935483871</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3392</v>
      </c>
      <c r="Q6" s="339"/>
      <c r="R6" s="281"/>
      <c r="S6" s="281"/>
      <c r="T6" s="281"/>
      <c r="U6" s="281"/>
      <c r="V6" s="281"/>
      <c r="W6" s="295"/>
      <c r="X6" s="0"/>
      <c r="Y6" s="0"/>
      <c r="Z6" s="0"/>
    </row>
    <row r="7" customFormat="false" ht="12.75" hidden="false" customHeight="false" outlineLevel="0" collapsed="false">
      <c r="A7" s="340" t="s">
        <v>3393</v>
      </c>
      <c r="B7" s="341" t="n">
        <v>90</v>
      </c>
      <c r="C7" s="342" t="n">
        <v>10</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9.42105263157895</v>
      </c>
      <c r="P8" s="356" t="n">
        <f aca="false">IF(ISERROR(AVERAGE(K23:K82)),"  ",AVERAGE(K23:K82))</f>
        <v>1.57894736842105</v>
      </c>
      <c r="Q8" s="357"/>
      <c r="R8" s="281"/>
      <c r="S8" s="281"/>
      <c r="T8" s="281"/>
      <c r="U8" s="281"/>
      <c r="V8" s="281"/>
      <c r="W8" s="295"/>
      <c r="X8" s="0"/>
      <c r="Y8" s="0"/>
      <c r="Z8" s="0"/>
    </row>
    <row r="9" customFormat="false" ht="12.75" hidden="false" customHeight="false" outlineLevel="0" collapsed="false">
      <c r="A9" s="314" t="s">
        <v>3399</v>
      </c>
      <c r="B9" s="358" t="n">
        <v>10</v>
      </c>
      <c r="C9" s="359" t="n">
        <v>15</v>
      </c>
      <c r="D9" s="360"/>
      <c r="E9" s="360"/>
      <c r="F9" s="361" t="n">
        <f aca="false">($B9*$B$7+$C9*$C$7)/100</f>
        <v>10.5</v>
      </c>
      <c r="G9" s="362"/>
      <c r="H9" s="317"/>
      <c r="I9" s="281"/>
      <c r="J9" s="363"/>
      <c r="K9" s="364"/>
      <c r="L9" s="347"/>
      <c r="M9" s="365"/>
      <c r="N9" s="355" t="s">
        <v>3400</v>
      </c>
      <c r="O9" s="356" t="n">
        <f aca="false">IF(ISERROR(STDEVP(J23:J82))," ",STDEVP(J23:J82))</f>
        <v>3.55876663250041</v>
      </c>
      <c r="P9" s="356" t="n">
        <f aca="false">IF(ISERROR(STDEVP(K23:K82)),"  ",STDEVP(K23:K82))</f>
        <v>0.590788008437991</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6</v>
      </c>
      <c r="M13" s="381"/>
      <c r="N13" s="389" t="s">
        <v>3413</v>
      </c>
      <c r="O13" s="390" t="n">
        <f aca="false">COUNTIF(F23:F82,"&gt;0")</f>
        <v>25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12</v>
      </c>
      <c r="M15" s="381"/>
      <c r="N15" s="389" t="s">
        <v>3419</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0.76</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11.3</v>
      </c>
      <c r="C20" s="433" t="n">
        <f aca="false">SUM(C23:C82)</f>
        <v>15.27</v>
      </c>
      <c r="D20" s="434"/>
      <c r="E20" s="435" t="s">
        <v>3426</v>
      </c>
      <c r="F20" s="436" t="n">
        <f aca="false">($B20*$B$7+$C20*$C$7)/100</f>
        <v>11.697</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10.17</v>
      </c>
      <c r="C21" s="444" t="n">
        <f aca="false">C20*C7/100</f>
        <v>1.527</v>
      </c>
      <c r="D21" s="445" t="s">
        <v>3429</v>
      </c>
      <c r="E21" s="446"/>
      <c r="F21" s="447" t="n">
        <f aca="false">B21+C21</f>
        <v>11.697</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0.01</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0.009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0.009</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0.005</v>
      </c>
      <c r="C24" s="491"/>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0.0045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0.0045</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300</v>
      </c>
      <c r="B25" s="490" t="n">
        <v>0.005</v>
      </c>
      <c r="C25" s="491" t="n">
        <v>0.005</v>
      </c>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0.005</v>
      </c>
      <c r="S25" s="485" t="n">
        <f aca="false">IF(OR(ISTEXT(H25),R25=0),"",IF(R25&lt;0.1,1,IF(R25&lt;1,2,IF(R25&lt;10,3,IF(R25&lt;50,4,IF(R25&gt;=50,5,""))))))</f>
        <v>1</v>
      </c>
      <c r="T25" s="485" t="n">
        <f aca="false">IF(ISERROR(S25*J25),0,S25*J25)</f>
        <v>6</v>
      </c>
      <c r="U25" s="485" t="n">
        <f aca="false">IF(ISERROR(S25*J25*K25),0,S25*J25*K25)</f>
        <v>12</v>
      </c>
      <c r="V25" s="501" t="n">
        <f aca="false">IF(ISERROR(S25*K25),0,S25*K25)</f>
        <v>2</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303</v>
      </c>
      <c r="B26" s="490" t="n">
        <v>1</v>
      </c>
      <c r="C26" s="491" t="n">
        <v>10</v>
      </c>
      <c r="D26" s="492" t="str">
        <f aca="false">IF(ISERROR(VLOOKUP($A26,'liste reference'!$A$6:$B$1174,2,0)),IF(ISERROR(VLOOKUP($A26,'liste reference'!$B$6:$B$1174,1,0)),"",VLOOKUP($A26,'liste reference'!$B$6:$B$1174,1,0)),VLOOKUP($A26,'liste reference'!$A$6:$B$1174,2,0))</f>
        <v>Oscillatoria sp.</v>
      </c>
      <c r="E26" s="493" t="e">
        <f aca="false">IF(D26="",0,VLOOKUP(D26,D$22:D25,1,0))</f>
        <v>#N/A</v>
      </c>
      <c r="F26" s="494" t="n">
        <f aca="false">IF(AND(OR(A26="",A26="!!!!!!"),B26="",C26=""),"",IF(OR(AND(B26="",C26=""),ISERROR(C26+B26)),"!!!",($B26*$B$7+$C26*$C$7)/100))</f>
        <v>1.9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11</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Oscillatoria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1108</v>
      </c>
      <c r="R26" s="484" t="n">
        <f aca="false">IF(ISTEXT(H26),"",(B26*$B$7/100)+(C26*$C$7/100))</f>
        <v>1.9</v>
      </c>
      <c r="S26" s="485" t="n">
        <f aca="false">IF(OR(ISTEXT(H26),R26=0),"",IF(R26&lt;0.1,1,IF(R26&lt;1,2,IF(R26&lt;10,3,IF(R26&lt;50,4,IF(R26&gt;=50,5,""))))))</f>
        <v>3</v>
      </c>
      <c r="T26" s="485" t="n">
        <f aca="false">IF(ISERROR(S26*J26),0,S26*J26)</f>
        <v>33</v>
      </c>
      <c r="U26" s="485" t="n">
        <f aca="false">IF(ISERROR(S26*J26*K26),0,S26*J26*K26)</f>
        <v>33</v>
      </c>
      <c r="V26" s="501" t="n">
        <f aca="false">IF(ISERROR(S26*K26),0,S26*K26)</f>
        <v>3</v>
      </c>
      <c r="W26" s="502"/>
      <c r="X26" s="503"/>
      <c r="Y26" s="488" t="str">
        <f aca="false">IF(AND(ISNUMBER(F26),OR(A26="",A26="!!!!!!")),"!!!!!!",IF(A26="new.cod","NEWCOD",IF(AND((Z26=""),ISTEXT(A26),A26&lt;&gt;"!!!!!!"),A26,IF(Z26="","",INDEX('liste reference'!$A$6:$A$1174,Z26)))))</f>
        <v>OSCSPX</v>
      </c>
      <c r="Z26" s="470" t="n">
        <f aca="false">IF(ISERROR(MATCH(A26,'liste reference'!$A$6:$A$1174,0)),IF(ISERROR(MATCH(A26,'liste reference'!$B$6:$B$1174,0)),"",(MATCH(A26,'liste reference'!$B$6:$B$1174,0))),(MATCH(A26,'liste reference'!$A$6:$A$1174,0)))</f>
        <v>86</v>
      </c>
    </row>
    <row r="27" customFormat="false" ht="12.75" hidden="false" customHeight="false" outlineLevel="0" collapsed="false">
      <c r="A27" s="489" t="s">
        <v>343</v>
      </c>
      <c r="B27" s="490" t="n">
        <v>10</v>
      </c>
      <c r="C27" s="491" t="n">
        <v>5</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9.5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9.5</v>
      </c>
      <c r="S27" s="485" t="n">
        <f aca="false">IF(OR(ISTEXT(H27),R27=0),"",IF(R27&lt;0.1,1,IF(R27&lt;1,2,IF(R27&lt;10,3,IF(R27&lt;50,4,IF(R27&gt;=50,5,""))))))</f>
        <v>3</v>
      </c>
      <c r="T27" s="485" t="n">
        <f aca="false">IF(ISERROR(S27*J27),0,S27*J27)</f>
        <v>30</v>
      </c>
      <c r="U27" s="485" t="n">
        <f aca="false">IF(ISERROR(S27*J27*K27),0,S27*J27*K27)</f>
        <v>30</v>
      </c>
      <c r="V27" s="501" t="n">
        <f aca="false">IF(ISERROR(S27*K27),0,S27*K27)</f>
        <v>3</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385</v>
      </c>
      <c r="B28" s="490" t="n">
        <v>0.005</v>
      </c>
      <c r="C28" s="491" t="n">
        <v>0.005</v>
      </c>
      <c r="D28" s="492" t="str">
        <f aca="false">IF(ISERROR(VLOOKUP($A28,'liste reference'!$A$6:$B$1174,2,0)),IF(ISERROR(VLOOKUP($A28,'liste reference'!$B$6:$B$1174,1,0)),"",VLOOKUP($A28,'liste reference'!$B$6:$B$1174,1,0)),VLOOKUP($A28,'liste reference'!$A$6:$B$1174,2,0))</f>
        <v>Ulothrix sp.</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Ulothrix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1142</v>
      </c>
      <c r="R28" s="484" t="n">
        <f aca="false">IF(ISTEXT(H28),"",(B28*$B$7/100)+(C28*$C$7/100))</f>
        <v>0.005</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ULOSPX</v>
      </c>
      <c r="Z28" s="470" t="n">
        <f aca="false">IF(ISERROR(MATCH(A28,'liste reference'!$A$6:$A$1174,0)),IF(ISERROR(MATCH(A28,'liste reference'!$B$6:$B$1174,0)),"",(MATCH(A28,'liste reference'!$B$6:$B$1174,0))),(MATCH(A28,'liste reference'!$A$6:$A$1174,0)))</f>
        <v>116</v>
      </c>
    </row>
    <row r="29" customFormat="false" ht="12.75" hidden="false" customHeight="false" outlineLevel="0" collapsed="false">
      <c r="A29" s="489" t="s">
        <v>712</v>
      </c>
      <c r="B29" s="490" t="n">
        <v>0.05</v>
      </c>
      <c r="C29" s="491"/>
      <c r="D29" s="492" t="str">
        <f aca="false">IF(ISERROR(VLOOKUP($A29,'liste reference'!$A$6:$B$1174,2,0)),IF(ISERROR(VLOOKUP($A29,'liste reference'!$B$6:$B$1174,1,0)),"",VLOOKUP($A29,'liste reference'!$B$6:$B$1174,1,0)),VLOOKUP($A29,'liste reference'!$A$6:$B$1174,2,0))</f>
        <v>Cinclidotus riparius</v>
      </c>
      <c r="E29" s="493" t="e">
        <f aca="false">IF(D29="",0,VLOOKUP(D29,D$22:D28,1,0))</f>
        <v>#N/A</v>
      </c>
      <c r="F29" s="494" t="n">
        <f aca="false">IF(AND(OR(A29="",A29="!!!!!!"),B29="",C29=""),"",IF(OR(AND(B29="",C29=""),ISERROR(C29+B29)),"!!!",($B29*$B$7+$C29*$C$7)/100))</f>
        <v>0.045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riparius</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1321</v>
      </c>
      <c r="R29" s="484" t="n">
        <f aca="false">IF(ISTEXT(H29),"",(B29*$B$7/100)+(C29*$C$7/100))</f>
        <v>0.045</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CINRIP</v>
      </c>
      <c r="Z29" s="470" t="n">
        <f aca="false">IF(ISERROR(MATCH(A29,'liste reference'!$A$6:$A$1174,0)),IF(ISERROR(MATCH(A29,'liste reference'!$B$6:$B$1174,0)),"",(MATCH(A29,'liste reference'!$B$6:$B$1174,0))),(MATCH(A29,'liste reference'!$A$6:$A$1174,0)))</f>
        <v>224</v>
      </c>
    </row>
    <row r="30" customFormat="false" ht="12.75" hidden="false" customHeight="false" outlineLevel="0" collapsed="false">
      <c r="A30" s="489" t="s">
        <v>723</v>
      </c>
      <c r="B30" s="490" t="n">
        <v>0.005</v>
      </c>
      <c r="C30" s="491"/>
      <c r="D30" s="492" t="str">
        <f aca="false">IF(ISERROR(VLOOKUP($A30,'liste reference'!$A$6:$B$1174,2,0)),IF(ISERROR(VLOOKUP($A30,'liste reference'!$B$6:$B$1174,1,0)),"",VLOOKUP($A30,'liste reference'!$B$6:$B$1174,1,0)),VLOOKUP($A30,'liste reference'!$A$6:$B$1174,2,0))</f>
        <v>Cratoneuron filicinum</v>
      </c>
      <c r="E30" s="493" t="e">
        <f aca="false">IF(D30="",0,VLOOKUP(D30,D$22:D29,1,0))</f>
        <v>#N/A</v>
      </c>
      <c r="F30" s="494" t="n">
        <f aca="false">IF(AND(OR(A30="",A30="!!!!!!"),B30="",C30=""),"",IF(OR(AND(B30="",C30=""),ISERROR(C30+B30)),"!!!",($B30*$B$7+$C30*$C$7)/100))</f>
        <v>0.0045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18</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Cratoneuron filicinum</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1233</v>
      </c>
      <c r="R30" s="484" t="n">
        <f aca="false">IF(ISTEXT(H30),"",(B30*$B$7/100)+(C30*$C$7/100))</f>
        <v>0.0045</v>
      </c>
      <c r="S30" s="485" t="n">
        <f aca="false">IF(OR(ISTEXT(H30),R30=0),"",IF(R30&lt;0.1,1,IF(R30&lt;1,2,IF(R30&lt;10,3,IF(R30&lt;50,4,IF(R30&gt;=50,5,""))))))</f>
        <v>1</v>
      </c>
      <c r="T30" s="485" t="n">
        <f aca="false">IF(ISERROR(S30*J30),0,S30*J30)</f>
        <v>18</v>
      </c>
      <c r="U30" s="485" t="n">
        <f aca="false">IF(ISERROR(S30*J30*K30),0,S30*J30*K30)</f>
        <v>54</v>
      </c>
      <c r="V30" s="501" t="n">
        <f aca="false">IF(ISERROR(S30*K30),0,S30*K30)</f>
        <v>3</v>
      </c>
      <c r="W30" s="502"/>
      <c r="X30" s="503"/>
      <c r="Y30" s="488" t="str">
        <f aca="false">IF(AND(ISNUMBER(F30),OR(A30="",A30="!!!!!!")),"!!!!!!",IF(A30="new.cod","NEWCOD",IF(AND((Z30=""),ISTEXT(A30),A30&lt;&gt;"!!!!!!"),A30,IF(Z30="","",INDEX('liste reference'!$A$6:$A$1174,Z30)))))</f>
        <v>CRAFIL</v>
      </c>
      <c r="Z30" s="470" t="n">
        <f aca="false">IF(ISERROR(MATCH(A30,'liste reference'!$A$6:$A$1174,0)),IF(ISERROR(MATCH(A30,'liste reference'!$B$6:$B$1174,0)),"",(MATCH(A30,'liste reference'!$B$6:$B$1174,0))),(MATCH(A30,'liste reference'!$A$6:$A$1174,0)))</f>
        <v>227</v>
      </c>
    </row>
    <row r="31" customFormat="false" ht="12.75" hidden="false" customHeight="false" outlineLevel="0" collapsed="false">
      <c r="A31" s="489" t="s">
        <v>830</v>
      </c>
      <c r="B31" s="490" t="n">
        <v>0.005</v>
      </c>
      <c r="C31" s="491"/>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0.0045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0.0045</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889</v>
      </c>
      <c r="B32" s="490" t="n">
        <v>0.05</v>
      </c>
      <c r="C32" s="491"/>
      <c r="D32" s="492" t="str">
        <f aca="false">IF(ISERROR(VLOOKUP($A32,'liste reference'!$A$6:$B$1174,2,0)),IF(ISERROR(VLOOKUP($A32,'liste reference'!$B$6:$B$1174,1,0)),"",VLOOKUP($A32,'liste reference'!$B$6:$B$1174,1,0)),VLOOKUP($A32,'liste reference'!$A$6:$B$1174,2,0))</f>
        <v>Fontinalis antipyretica</v>
      </c>
      <c r="E32" s="493" t="e">
        <f aca="false">IF(D32="",0,VLOOKUP(D32,D$22:D31,1,0))</f>
        <v>#N/A</v>
      </c>
      <c r="F32" s="494" t="n">
        <f aca="false">IF(AND(OR(A32="",A32="!!!!!!"),B32="",C32=""),"",IF(OR(AND(B32="",C32=""),ISERROR(C32+B32)),"!!!",($B32*$B$7+$C32*$C$7)/100))</f>
        <v>0.045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antipyretica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1310</v>
      </c>
      <c r="R32" s="484" t="n">
        <f aca="false">IF(ISTEXT(H32),"",(B32*$B$7/100)+(C32*$C$7/100))</f>
        <v>0.045</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FONANT</v>
      </c>
      <c r="Z32" s="470" t="n">
        <f aca="false">IF(ISERROR(MATCH(A32,'liste reference'!$A$6:$A$1174,0)),IF(ISERROR(MATCH(A32,'liste reference'!$B$6:$B$1174,0)),"",(MATCH(A32,'liste reference'!$B$6:$B$1174,0))),(MATCH(A32,'liste reference'!$A$6:$A$1174,0)))</f>
        <v>273</v>
      </c>
    </row>
    <row r="33" customFormat="false" ht="12.75" hidden="false" customHeight="false" outlineLevel="0" collapsed="false">
      <c r="A33" s="489" t="s">
        <v>974</v>
      </c>
      <c r="B33" s="490" t="n">
        <v>0.1</v>
      </c>
      <c r="C33" s="491" t="n">
        <v>0.005</v>
      </c>
      <c r="D33" s="492" t="str">
        <f aca="false">IF(ISERROR(VLOOKUP($A33,'liste reference'!$A$6:$B$1174,2,0)),IF(ISERROR(VLOOKUP($A33,'liste reference'!$B$6:$B$1174,1,0)),"",VLOOKUP($A33,'liste reference'!$B$6:$B$1174,1,0)),VLOOKUP($A33,'liste reference'!$A$6:$B$1174,2,0))</f>
        <v>Leptodictyum riparium </v>
      </c>
      <c r="E33" s="493" t="e">
        <f aca="false">IF(D33="",0,VLOOKUP(D33,D$22:D32,1,0))</f>
        <v>#N/A</v>
      </c>
      <c r="F33" s="494" t="n">
        <f aca="false">IF(AND(OR(A33="",A33="!!!!!!"),B33="",C33=""),"",IF(OR(AND(B33="",C33=""),ISERROR(C33+B33)),"!!!",($B33*$B$7+$C33*$C$7)/100))</f>
        <v>0.0905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Leptodictyum riparium </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1244</v>
      </c>
      <c r="R33" s="484" t="n">
        <f aca="false">IF(ISTEXT(H33),"",(B33*$B$7/100)+(C33*$C$7/100))</f>
        <v>0.0905</v>
      </c>
      <c r="S33" s="485" t="n">
        <f aca="false">IF(OR(ISTEXT(H33),R33=0),"",IF(R33&lt;0.1,1,IF(R33&lt;1,2,IF(R33&lt;10,3,IF(R33&lt;50,4,IF(R33&gt;=50,5,""))))))</f>
        <v>1</v>
      </c>
      <c r="T33" s="485" t="n">
        <f aca="false">IF(ISERROR(S33*J33),0,S33*J33)</f>
        <v>5</v>
      </c>
      <c r="U33" s="485" t="n">
        <f aca="false">IF(ISERROR(S33*J33*K33),0,S33*J33*K33)</f>
        <v>10</v>
      </c>
      <c r="V33" s="501" t="n">
        <f aca="false">IF(ISERROR(S33*K33),0,S33*K33)</f>
        <v>2</v>
      </c>
      <c r="W33" s="502"/>
      <c r="X33" s="503"/>
      <c r="Y33" s="488" t="str">
        <f aca="false">IF(AND(ISNUMBER(F33),OR(A33="",A33="!!!!!!")),"!!!!!!",IF(A33="new.cod","NEWCOD",IF(AND((Z33=""),ISTEXT(A33),A33&lt;&gt;"!!!!!!"),A33,IF(Z33="","",INDEX('liste reference'!$A$6:$A$1174,Z33)))))</f>
        <v>LEORIP</v>
      </c>
      <c r="Z33" s="470" t="n">
        <f aca="false">IF(ISERROR(MATCH(A33,'liste reference'!$A$6:$A$1174,0)),IF(ISERROR(MATCH(A33,'liste reference'!$B$6:$B$1174,0)),"",(MATCH(A33,'liste reference'!$B$6:$B$1174,0))),(MATCH(A33,'liste reference'!$A$6:$A$1174,0)))</f>
        <v>298</v>
      </c>
    </row>
    <row r="34" customFormat="false" ht="12.75" hidden="false" customHeight="false" outlineLevel="0" collapsed="false">
      <c r="A34" s="489" t="s">
        <v>1122</v>
      </c>
      <c r="B34" s="490" t="n">
        <v>0.02</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0.018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0.018</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1255</v>
      </c>
      <c r="B35" s="490" t="n">
        <v>0.005</v>
      </c>
      <c r="C35" s="491"/>
      <c r="D35" s="492" t="str">
        <f aca="false">IF(ISERROR(VLOOKUP($A35,'liste reference'!$A$6:$B$1174,2,0)),IF(ISERROR(VLOOKUP($A35,'liste reference'!$B$6:$B$1174,1,0)),"",VLOOKUP($A35,'liste reference'!$B$6:$B$1174,1,0)),VLOOKUP($A35,'liste reference'!$A$6:$B$1174,2,0))</f>
        <v>Equisetum arvense</v>
      </c>
      <c r="E35" s="493" t="e">
        <f aca="false">IF(D35="",0,VLOOKUP(D35,D$22:D34,1,0))</f>
        <v>#N/A</v>
      </c>
      <c r="F35" s="494" t="n">
        <f aca="false">IF(AND(OR(A35="",A35="!!!!!!"),B35="",C35=""),"",IF(OR(AND(B35="",C35=""),ISERROR(C35+B35)),"!!!",($B35*$B$7+$C35*$C$7)/100))</f>
        <v>0.0045</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arvense</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1384</v>
      </c>
      <c r="R35" s="484" t="n">
        <f aca="false">IF(ISTEXT(H35),"",(B35*$B$7/100)+(C35*$C$7/100))</f>
        <v>0.0045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EQUARV</v>
      </c>
      <c r="Z35" s="470" t="n">
        <f aca="false">IF(ISERROR(MATCH(A35,'liste reference'!$A$6:$A$1174,0)),IF(ISERROR(MATCH(A35,'liste reference'!$B$6:$B$1174,0)),"",(MATCH(A35,'liste reference'!$B$6:$B$1174,0))),(MATCH(A35,'liste reference'!$A$6:$A$1174,0)))</f>
        <v>385</v>
      </c>
    </row>
    <row r="36" customFormat="false" ht="12.75" hidden="false" customHeight="false" outlineLevel="0" collapsed="false">
      <c r="A36" s="489" t="s">
        <v>1657</v>
      </c>
      <c r="B36" s="490"/>
      <c r="C36" s="491" t="n">
        <v>0.01</v>
      </c>
      <c r="D36" s="492" t="str">
        <f aca="false">IF(ISERROR(VLOOKUP($A36,'liste reference'!$A$6:$B$1174,2,0)),IF(ISERROR(VLOOKUP($A36,'liste reference'!$B$6:$B$1174,1,0)),"",VLOOKUP($A36,'liste reference'!$B$6:$B$1174,1,0)),VLOOKUP($A36,'liste reference'!$A$6:$B$1174,2,0))</f>
        <v>Potamogeton crispus</v>
      </c>
      <c r="E36" s="493" t="e">
        <f aca="false">IF(D36="",0,VLOOKUP(D36,D$22:D35,1,0))</f>
        <v>#N/A</v>
      </c>
      <c r="F36" s="494" t="n">
        <f aca="false">IF(AND(OR(A36="",A36="!!!!!!"),B36="",C36=""),"",IF(OR(AND(B36="",C36=""),ISERROR(C36+B36)),"!!!",($B36*$B$7+$C36*$C$7)/100))</f>
        <v>0.001</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7</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Potamogeton crispus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1645</v>
      </c>
      <c r="R36" s="484" t="n">
        <f aca="false">IF(ISTEXT(H36),"",(B36*$B$7/100)+(C36*$C$7/100))</f>
        <v>0.001</v>
      </c>
      <c r="S36" s="485" t="n">
        <f aca="false">IF(OR(ISTEXT(H36),R36=0),"",IF(R36&lt;0.1,1,IF(R36&lt;1,2,IF(R36&lt;10,3,IF(R36&lt;50,4,IF(R36&gt;=50,5,""))))))</f>
        <v>1</v>
      </c>
      <c r="T36" s="485" t="n">
        <f aca="false">IF(ISERROR(S36*J36),0,S36*J36)</f>
        <v>7</v>
      </c>
      <c r="U36" s="485" t="n">
        <f aca="false">IF(ISERROR(S36*J36*K36),0,S36*J36*K36)</f>
        <v>14</v>
      </c>
      <c r="V36" s="501" t="n">
        <f aca="false">IF(ISERROR(S36*K36),0,S36*K36)</f>
        <v>2</v>
      </c>
      <c r="W36" s="502"/>
      <c r="X36" s="503"/>
      <c r="Y36" s="488" t="str">
        <f aca="false">IF(AND(ISNUMBER(F36),OR(A36="",A36="!!!!!!")),"!!!!!!",IF(A36="new.cod","NEWCOD",IF(AND((Z36=""),ISTEXT(A36),A36&lt;&gt;"!!!!!!"),A36,IF(Z36="","",INDEX('liste reference'!$A$6:$A$1174,Z36)))))</f>
        <v>POTCRI</v>
      </c>
      <c r="Z36" s="470" t="n">
        <f aca="false">IF(ISERROR(MATCH(A36,'liste reference'!$A$6:$A$1174,0)),IF(ISERROR(MATCH(A36,'liste reference'!$B$6:$B$1174,0)),"",(MATCH(A36,'liste reference'!$B$6:$B$1174,0))),(MATCH(A36,'liste reference'!$A$6:$A$1174,0)))</f>
        <v>522</v>
      </c>
    </row>
    <row r="37" customFormat="false" ht="12.75" hidden="false" customHeight="false" outlineLevel="0" collapsed="false">
      <c r="A37" s="489" t="s">
        <v>1689</v>
      </c>
      <c r="B37" s="490"/>
      <c r="C37" s="491" t="n">
        <v>0.005</v>
      </c>
      <c r="D37" s="492" t="str">
        <f aca="false">IF(ISERROR(VLOOKUP($A37,'liste reference'!$A$6:$B$1174,2,0)),IF(ISERROR(VLOOKUP($A37,'liste reference'!$B$6:$B$1174,1,0)),"",VLOOKUP($A37,'liste reference'!$B$6:$B$1174,1,0)),VLOOKUP($A37,'liste reference'!$A$6:$B$1174,2,0))</f>
        <v>Potamogeton pectinatus</v>
      </c>
      <c r="E37" s="493" t="e">
        <f aca="false">IF(D37="",0,VLOOKUP(D37,D$22:D36,1,0))</f>
        <v>#N/A</v>
      </c>
      <c r="F37" s="494" t="n">
        <f aca="false">IF(AND(OR(A37="",A37="!!!!!!"),B37="",C37=""),"",IF(OR(AND(B37="",C37=""),ISERROR(C37+B37)),"!!!",($B37*$B$7+$C37*$C$7)/100))</f>
        <v>0.0005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2</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pectinatus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1655</v>
      </c>
      <c r="R37" s="484" t="n">
        <f aca="false">IF(ISTEXT(H37),"",(B37*$B$7/100)+(C37*$C$7/100))</f>
        <v>0.0005</v>
      </c>
      <c r="S37" s="485" t="n">
        <f aca="false">IF(OR(ISTEXT(H37),R37=0),"",IF(R37&lt;0.1,1,IF(R37&lt;1,2,IF(R37&lt;10,3,IF(R37&lt;50,4,IF(R37&gt;=50,5,""))))))</f>
        <v>1</v>
      </c>
      <c r="T37" s="485" t="n">
        <f aca="false">IF(ISERROR(S37*J37),0,S37*J37)</f>
        <v>2</v>
      </c>
      <c r="U37" s="485" t="n">
        <f aca="false">IF(ISERROR(S37*J37*K37),0,S37*J37*K37)</f>
        <v>4</v>
      </c>
      <c r="V37" s="501" t="n">
        <f aca="false">IF(ISERROR(S37*K37),0,S37*K37)</f>
        <v>2</v>
      </c>
      <c r="W37" s="502"/>
      <c r="X37" s="503"/>
      <c r="Y37" s="488" t="str">
        <f aca="false">IF(AND(ISNUMBER(F37),OR(A37="",A37="!!!!!!")),"!!!!!!",IF(A37="new.cod","NEWCOD",IF(AND((Z37=""),ISTEXT(A37),A37&lt;&gt;"!!!!!!"),A37,IF(Z37="","",INDEX('liste reference'!$A$6:$A$1174,Z37)))))</f>
        <v>POTPEC</v>
      </c>
      <c r="Z37" s="470" t="n">
        <f aca="false">IF(ISERROR(MATCH(A37,'liste reference'!$A$6:$A$1174,0)),IF(ISERROR(MATCH(A37,'liste reference'!$B$6:$B$1174,0)),"",(MATCH(A37,'liste reference'!$B$6:$B$1174,0))),(MATCH(A37,'liste reference'!$A$6:$A$1174,0)))</f>
        <v>532</v>
      </c>
    </row>
    <row r="38" customFormat="false" ht="12.75" hidden="false" customHeight="false" outlineLevel="0" collapsed="false">
      <c r="A38" s="489" t="s">
        <v>1918</v>
      </c>
      <c r="B38" s="490"/>
      <c r="C38" s="491" t="n">
        <v>0.01</v>
      </c>
      <c r="D38" s="492" t="str">
        <f aca="false">IF(ISERROR(VLOOKUP($A38,'liste reference'!$A$6:$B$1174,2,0)),IF(ISERROR(VLOOKUP($A38,'liste reference'!$B$6:$B$1174,1,0)),"",VLOOKUP($A38,'liste reference'!$B$6:$B$1174,1,0)),VLOOKUP($A38,'liste reference'!$A$6:$B$1174,2,0))</f>
        <v>Zannichellia palustris</v>
      </c>
      <c r="E38" s="493" t="e">
        <f aca="false">IF(D38="",0,VLOOKUP(D38,D$22:D37,1,0))</f>
        <v>#N/A</v>
      </c>
      <c r="F38" s="494" t="n">
        <f aca="false">IF(AND(OR(A38="",A38="!!!!!!"),B38="",C38=""),"",IF(OR(AND(B38="",C38=""),ISERROR(C38+B38)),"!!!",($B38*$B$7+$C38*$C$7)/100))</f>
        <v>0.001</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5</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Zannichellia palustris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1681</v>
      </c>
      <c r="R38" s="484" t="n">
        <f aca="false">IF(ISTEXT(H38),"",(B38*$B$7/100)+(C38*$C$7/100))</f>
        <v>0.001</v>
      </c>
      <c r="S38" s="485" t="n">
        <f aca="false">IF(OR(ISTEXT(H38),R38=0),"",IF(R38&lt;0.1,1,IF(R38&lt;1,2,IF(R38&lt;10,3,IF(R38&lt;50,4,IF(R38&gt;=50,5,""))))))</f>
        <v>1</v>
      </c>
      <c r="T38" s="485" t="n">
        <f aca="false">IF(ISERROR(S38*J38),0,S38*J38)</f>
        <v>5</v>
      </c>
      <c r="U38" s="485" t="n">
        <f aca="false">IF(ISERROR(S38*J38*K38),0,S38*J38*K38)</f>
        <v>5</v>
      </c>
      <c r="V38" s="501" t="n">
        <f aca="false">IF(ISERROR(S38*K38),0,S38*K38)</f>
        <v>1</v>
      </c>
      <c r="W38" s="502"/>
      <c r="X38" s="503"/>
      <c r="Y38" s="488" t="str">
        <f aca="false">IF(AND(ISNUMBER(F38),OR(A38="",A38="!!!!!!")),"!!!!!!",IF(A38="new.cod","NEWCOD",IF(AND((Z38=""),ISTEXT(A38),A38&lt;&gt;"!!!!!!"),A38,IF(Z38="","",INDEX('liste reference'!$A$6:$A$1174,Z38)))))</f>
        <v>ZANPAL</v>
      </c>
      <c r="Z38" s="470" t="n">
        <f aca="false">IF(ISERROR(MATCH(A38,'liste reference'!$A$6:$A$1174,0)),IF(ISERROR(MATCH(A38,'liste reference'!$B$6:$B$1174,0)),"",(MATCH(A38,'liste reference'!$B$6:$B$1174,0))),(MATCH(A38,'liste reference'!$A$6:$A$1174,0)))</f>
        <v>617</v>
      </c>
    </row>
    <row r="39" customFormat="false" ht="12.75" hidden="false" customHeight="false" outlineLevel="0" collapsed="false">
      <c r="A39" s="489" t="s">
        <v>2132</v>
      </c>
      <c r="B39" s="490"/>
      <c r="C39" s="491" t="n">
        <v>0.005</v>
      </c>
      <c r="D39" s="492" t="str">
        <f aca="false">IF(ISERROR(VLOOKUP($A39,'liste reference'!$A$6:$B$1174,2,0)),IF(ISERROR(VLOOKUP($A39,'liste reference'!$B$6:$B$1174,1,0)),"",VLOOKUP($A39,'liste reference'!$B$6:$B$1174,1,0)),VLOOKUP($A39,'liste reference'!$A$6:$B$1174,2,0))</f>
        <v>Lycopus europaeus</v>
      </c>
      <c r="E39" s="493" t="e">
        <f aca="false">IF(D39="",0,VLOOKUP(D39,D$22:D38,1,0))</f>
        <v>#N/A</v>
      </c>
      <c r="F39" s="494" t="n">
        <f aca="false">IF(AND(OR(A39="",A39="!!!!!!"),B39="",C39=""),"",IF(OR(AND(B39="",C39=""),ISERROR(C39+B39)),"!!!",($B39*$B$7+$C39*$C$7)/100))</f>
        <v>0.0005</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11</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Lycopus europaeus</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1789</v>
      </c>
      <c r="R39" s="484" t="n">
        <f aca="false">IF(ISTEXT(H39),"",(B39*$B$7/100)+(C39*$C$7/100))</f>
        <v>0.0005</v>
      </c>
      <c r="S39" s="485" t="n">
        <f aca="false">IF(OR(ISTEXT(H39),R39=0),"",IF(R39&lt;0.1,1,IF(R39&lt;1,2,IF(R39&lt;10,3,IF(R39&lt;50,4,IF(R39&gt;=50,5,""))))))</f>
        <v>1</v>
      </c>
      <c r="T39" s="485" t="n">
        <f aca="false">IF(ISERROR(S39*J39),0,S39*J39)</f>
        <v>11</v>
      </c>
      <c r="U39" s="485" t="n">
        <f aca="false">IF(ISERROR(S39*J39*K39),0,S39*J39*K39)</f>
        <v>11</v>
      </c>
      <c r="V39" s="501" t="n">
        <f aca="false">IF(ISERROR(S39*K39),0,S39*K39)</f>
        <v>1</v>
      </c>
      <c r="W39" s="502"/>
      <c r="X39" s="503"/>
      <c r="Y39" s="488" t="str">
        <f aca="false">IF(AND(ISNUMBER(F39),OR(A39="",A39="!!!!!!")),"!!!!!!",IF(A39="new.cod","NEWCOD",IF(AND((Z39=""),ISTEXT(A39),A39&lt;&gt;"!!!!!!"),A39,IF(Z39="","",INDEX('liste reference'!$A$6:$A$1174,Z39)))))</f>
        <v>LYCEUR</v>
      </c>
      <c r="Z39" s="470" t="n">
        <f aca="false">IF(ISERROR(MATCH(A39,'liste reference'!$A$6:$A$1174,0)),IF(ISERROR(MATCH(A39,'liste reference'!$B$6:$B$1174,0)),"",(MATCH(A39,'liste reference'!$B$6:$B$1174,0))),(MATCH(A39,'liste reference'!$A$6:$A$1174,0)))</f>
        <v>692</v>
      </c>
    </row>
    <row r="40" customFormat="false" ht="12.75" hidden="false" customHeight="false" outlineLevel="0" collapsed="false">
      <c r="A40" s="489" t="s">
        <v>2170</v>
      </c>
      <c r="B40" s="490" t="n">
        <v>0.005</v>
      </c>
      <c r="C40" s="491"/>
      <c r="D40" s="492" t="str">
        <f aca="false">IF(ISERROR(VLOOKUP($A40,'liste reference'!$A$6:$B$1174,2,0)),IF(ISERROR(VLOOKUP($A40,'liste reference'!$B$6:$B$1174,1,0)),"",VLOOKUP($A40,'liste reference'!$B$6:$B$1174,1,0)),VLOOKUP($A40,'liste reference'!$A$6:$B$1174,2,0))</f>
        <v>Phalaris arundinacea</v>
      </c>
      <c r="E40" s="493" t="e">
        <f aca="false">IF(D40="",0,VLOOKUP(D40,D$22:D39,1,0))</f>
        <v>#N/A</v>
      </c>
      <c r="F40" s="494" t="n">
        <f aca="false">IF(AND(OR(A40="",A40="!!!!!!"),B40="",C40=""),"",IF(OR(AND(B40="",C40=""),ISERROR(C40+B40)),"!!!",($B40*$B$7+$C40*$C$7)/100))</f>
        <v>0.0045</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Phalaris arundinacea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1577</v>
      </c>
      <c r="R40" s="484" t="n">
        <f aca="false">IF(ISTEXT(H40),"",(B40*$B$7/100)+(C40*$C$7/100))</f>
        <v>0.0045</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PHAARU</v>
      </c>
      <c r="Z40" s="470" t="n">
        <f aca="false">IF(ISERROR(MATCH(A40,'liste reference'!$A$6:$A$1174,0)),IF(ISERROR(MATCH(A40,'liste reference'!$B$6:$B$1174,0)),"",(MATCH(A40,'liste reference'!$B$6:$B$1174,0))),(MATCH(A40,'liste reference'!$A$6:$A$1174,0)))</f>
        <v>707</v>
      </c>
    </row>
    <row r="41" customFormat="false" ht="12.75" hidden="false" customHeight="false" outlineLevel="0" collapsed="false">
      <c r="A41" s="489" t="s">
        <v>2260</v>
      </c>
      <c r="B41" s="490" t="n">
        <v>0.005</v>
      </c>
      <c r="C41" s="491" t="n">
        <v>0.005</v>
      </c>
      <c r="D41" s="492" t="str">
        <f aca="false">IF(ISERROR(VLOOKUP($A41,'liste reference'!$A$6:$B$1174,2,0)),IF(ISERROR(VLOOKUP($A41,'liste reference'!$B$6:$B$1174,1,0)),"",VLOOKUP($A41,'liste reference'!$B$6:$B$1174,1,0)),VLOOKUP($A41,'liste reference'!$A$6:$B$1174,2,0))</f>
        <v>Veronica anagallis-aquatica</v>
      </c>
      <c r="E41" s="493" t="e">
        <f aca="false">IF(D41="",0,VLOOKUP(D41,D$22:D40,1,0))</f>
        <v>#N/A</v>
      </c>
      <c r="F41" s="494" t="n">
        <f aca="false">IF(AND(OR(A41="",A41="!!!!!!"),B41="",C41=""),"",IF(OR(AND(B41="",C41=""),ISERROR(C41+B41)),"!!!",($B41*$B$7+$C41*$C$7)/100))</f>
        <v>0.005</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11</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Veronica anagallis-aquatica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1955</v>
      </c>
      <c r="R41" s="484" t="n">
        <f aca="false">IF(ISTEXT(H41),"",(B41*$B$7/100)+(C41*$C$7/100))</f>
        <v>0.005</v>
      </c>
      <c r="S41" s="485" t="n">
        <f aca="false">IF(OR(ISTEXT(H41),R41=0),"",IF(R41&lt;0.1,1,IF(R41&lt;1,2,IF(R41&lt;10,3,IF(R41&lt;50,4,IF(R41&gt;=50,5,""))))))</f>
        <v>1</v>
      </c>
      <c r="T41" s="485" t="n">
        <f aca="false">IF(ISERROR(S41*J41),0,S41*J41)</f>
        <v>11</v>
      </c>
      <c r="U41" s="485" t="n">
        <f aca="false">IF(ISERROR(S41*J41*K41),0,S41*J41*K41)</f>
        <v>22</v>
      </c>
      <c r="V41" s="501" t="n">
        <f aca="false">IF(ISERROR(S41*K41),0,S41*K41)</f>
        <v>2</v>
      </c>
      <c r="W41" s="502"/>
      <c r="X41" s="503"/>
      <c r="Y41" s="488" t="str">
        <f aca="false">IF(AND(ISNUMBER(F41),OR(A41="",A41="!!!!!!")),"!!!!!!",IF(A41="new.cod","NEWCOD",IF(AND((Z41=""),ISTEXT(A41),A41&lt;&gt;"!!!!!!"),A41,IF(Z41="","",INDEX('liste reference'!$A$6:$A$1174,Z41)))))</f>
        <v>VERANA</v>
      </c>
      <c r="Z41" s="470" t="n">
        <f aca="false">IF(ISERROR(MATCH(A41,'liste reference'!$A$6:$A$1174,0)),IF(ISERROR(MATCH(A41,'liste reference'!$B$6:$B$1174,0)),"",(MATCH(A41,'liste reference'!$B$6:$B$1174,0))),(MATCH(A41,'liste reference'!$A$6:$A$1174,0)))</f>
        <v>740</v>
      </c>
    </row>
    <row r="42" customFormat="false" ht="12.75" hidden="false" customHeight="false" outlineLevel="0" collapsed="false">
      <c r="A42" s="489" t="s">
        <v>2347</v>
      </c>
      <c r="B42" s="490"/>
      <c r="C42" s="491" t="n">
        <v>0.005</v>
      </c>
      <c r="D42" s="492" t="str">
        <f aca="false">IF(ISERROR(VLOOKUP($A42,'liste reference'!$A$6:$B$1174,2,0)),IF(ISERROR(VLOOKUP($A42,'liste reference'!$B$6:$B$1174,1,0)),"",VLOOKUP($A42,'liste reference'!$B$6:$B$1174,1,0)),VLOOKUP($A42,'liste reference'!$A$6:$B$1174,2,0))</f>
        <v>Bidens tripartita</v>
      </c>
      <c r="E42" s="493" t="e">
        <f aca="false">IF(D42="",0,VLOOKUP(D42,D$22:D41,1,0))</f>
        <v>#N/A</v>
      </c>
      <c r="F42" s="494" t="n">
        <f aca="false">IF(AND(OR(A42="",A42="!!!!!!"),B42="",C42=""),"",IF(OR(AND(B42="",C42=""),ISERROR(C42+B42)),"!!!",($B42*$B$7+$C42*$C$7)/100))</f>
        <v>0.0005</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Bidens tripartita</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1729</v>
      </c>
      <c r="R42" s="484" t="n">
        <f aca="false">IF(ISTEXT(H42),"",(B42*$B$7/100)+(C42*$C$7/100))</f>
        <v>0.0005</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BIDTRI</v>
      </c>
      <c r="Z42" s="470" t="n">
        <f aca="false">IF(ISERROR(MATCH(A42,'liste reference'!$A$6:$A$1174,0)),IF(ISERROR(MATCH(A42,'liste reference'!$B$6:$B$1174,0)),"",(MATCH(A42,'liste reference'!$B$6:$B$1174,0))),(MATCH(A42,'liste reference'!$A$6:$A$1174,0)))</f>
        <v>772</v>
      </c>
    </row>
    <row r="43" customFormat="false" ht="12.75" hidden="false" customHeight="false" outlineLevel="0" collapsed="false">
      <c r="A43" s="489" t="s">
        <v>2477</v>
      </c>
      <c r="B43" s="490"/>
      <c r="C43" s="491" t="n">
        <v>0.005</v>
      </c>
      <c r="D43" s="492" t="str">
        <f aca="false">IF(ISERROR(VLOOKUP($A43,'liste reference'!$A$6:$B$1174,2,0)),IF(ISERROR(VLOOKUP($A43,'liste reference'!$B$6:$B$1174,1,0)),"",VLOOKUP($A43,'liste reference'!$B$6:$B$1174,1,0)),VLOOKUP($A43,'liste reference'!$A$6:$B$1174,2,0))</f>
        <v>Cyperus fuscus</v>
      </c>
      <c r="E43" s="493" t="e">
        <f aca="false">IF(D43="",0,VLOOKUP(D43,D$22:D42,1,0))</f>
        <v>#N/A</v>
      </c>
      <c r="F43" s="494" t="n">
        <f aca="false">IF(AND(OR(A43="",A43="!!!!!!"),B43="",C43=""),"",IF(OR(AND(B43="",C43=""),ISERROR(C43+B43)),"!!!",($B43*$B$7+$C43*$C$7)/100))</f>
        <v>0.0005</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Cyperus fuscus</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1499</v>
      </c>
      <c r="R43" s="484" t="n">
        <f aca="false">IF(ISTEXT(H43),"",(B43*$B$7/100)+(C43*$C$7/100))</f>
        <v>0.0005</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CYPFUS</v>
      </c>
      <c r="Z43" s="470" t="n">
        <f aca="false">IF(ISERROR(MATCH(A43,'liste reference'!$A$6:$A$1174,0)),IF(ISERROR(MATCH(A43,'liste reference'!$B$6:$B$1174,0)),"",(MATCH(A43,'liste reference'!$B$6:$B$1174,0))),(MATCH(A43,'liste reference'!$A$6:$A$1174,0)))</f>
        <v>824</v>
      </c>
    </row>
    <row r="44" customFormat="false" ht="12.75" hidden="false" customHeight="false" outlineLevel="0" collapsed="false">
      <c r="A44" s="489" t="s">
        <v>2634</v>
      </c>
      <c r="B44" s="490"/>
      <c r="C44" s="491" t="n">
        <v>0.005</v>
      </c>
      <c r="D44" s="492" t="str">
        <f aca="false">IF(ISERROR(VLOOKUP($A44,'liste reference'!$A$6:$B$1174,2,0)),IF(ISERROR(VLOOKUP($A44,'liste reference'!$B$6:$B$1174,1,0)),"",VLOOKUP($A44,'liste reference'!$B$6:$B$1174,1,0)),VLOOKUP($A44,'liste reference'!$A$6:$B$1174,2,0))</f>
        <v>Juncus sp.</v>
      </c>
      <c r="E44" s="493" t="e">
        <f aca="false">IF(D44="",0,VLOOKUP(D44,D$22:D43,1,0))</f>
        <v>#N/A</v>
      </c>
      <c r="F44" s="494" t="n">
        <f aca="false">IF(AND(OR(A44="",A44="!!!!!!"),B44="",C44=""),"",IF(OR(AND(B44="",C44=""),ISERROR(C44+B44)),"!!!",($B44*$B$7+$C44*$C$7)/100))</f>
        <v>0.0005</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Juncus sp.</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1606</v>
      </c>
      <c r="R44" s="484" t="n">
        <f aca="false">IF(ISTEXT(H44),"",(B44*$B$7/100)+(C44*$C$7/100))</f>
        <v>0.0005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JUNSPX</v>
      </c>
      <c r="Z44" s="470" t="n">
        <f aca="false">IF(ISERROR(MATCH(A44,'liste reference'!$A$6:$A$1174,0)),IF(ISERROR(MATCH(A44,'liste reference'!$B$6:$B$1174,0)),"",(MATCH(A44,'liste reference'!$B$6:$B$1174,0))),(MATCH(A44,'liste reference'!$A$6:$A$1174,0)))</f>
        <v>881</v>
      </c>
    </row>
    <row r="45" customFormat="false" ht="12.75" hidden="false" customHeight="false" outlineLevel="0" collapsed="false">
      <c r="A45" s="489" t="s">
        <v>2308</v>
      </c>
      <c r="B45" s="490" t="n">
        <v>0.005</v>
      </c>
      <c r="C45" s="491" t="n">
        <v>0.005</v>
      </c>
      <c r="D45" s="492" t="str">
        <f aca="false">IF(ISERROR(VLOOKUP($A45,'liste reference'!$A$6:$B$1174,2,0)),IF(ISERROR(VLOOKUP($A45,'liste reference'!$B$6:$B$1174,1,0)),"",VLOOKUP($A45,'liste reference'!$B$6:$B$1174,1,0)),VLOOKUP($A45,'liste reference'!$A$6:$B$1174,2,0))</f>
        <v>Persicaria hydropiper</v>
      </c>
      <c r="E45" s="493" t="e">
        <f aca="false">IF(D45="",0,VLOOKUP(D45,D$22:D44,1,0))</f>
        <v>#N/A</v>
      </c>
      <c r="F45" s="494" t="n">
        <f aca="false">IF(AND(OR(A45="",A45="!!!!!!"),B45="",C45=""),"",IF(OR(AND(B45="",C45=""),ISERROR(C45+B45)),"!!!",($B45*$B$7+$C45*$C$7)/100))</f>
        <v>0.005</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9</v>
      </c>
      <c r="I45" s="281" t="n">
        <f aca="false">IF(A45="","",1)</f>
        <v>1</v>
      </c>
      <c r="J45" s="497" t="n">
        <f aca="false">IF(ISNUMBER($H45),IF(ISERROR(VLOOKUP($A45,'liste reference'!$A$6:$Q$1174,6,0)),IF(ISERROR(VLOOKUP($A45,'liste reference'!$B$6:$Q$1174,5,0)),"nu",VLOOKUP($A45,'liste reference'!$B$6:$Q$1174,5,0)),VLOOKUP($A45,'liste reference'!$A$6:$Q$1174,6,0)),"nu")</f>
        <v>8</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Persicaria hydropiper</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31021</v>
      </c>
      <c r="R45" s="484" t="n">
        <f aca="false">IF(ISTEXT(H45),"",(B45*$B$7/100)+(C45*$C$7/100))</f>
        <v>0.005</v>
      </c>
      <c r="S45" s="485" t="n">
        <f aca="false">IF(OR(ISTEXT(H45),R45=0),"",IF(R45&lt;0.1,1,IF(R45&lt;1,2,IF(R45&lt;10,3,IF(R45&lt;50,4,IF(R45&gt;=50,5,""))))))</f>
        <v>1</v>
      </c>
      <c r="T45" s="485" t="n">
        <f aca="false">IF(ISERROR(S45*J45),0,S45*J45)</f>
        <v>8</v>
      </c>
      <c r="U45" s="485" t="n">
        <f aca="false">IF(ISERROR(S45*J45*K45),0,S45*J45*K45)</f>
        <v>16</v>
      </c>
      <c r="V45" s="501" t="n">
        <f aca="false">IF(ISERROR(S45*K45),0,S45*K45)</f>
        <v>2</v>
      </c>
      <c r="W45" s="502"/>
      <c r="X45" s="503"/>
      <c r="Y45" s="488" t="str">
        <f aca="false">IF(AND(ISNUMBER(F45),OR(A45="",A45="!!!!!!")),"!!!!!!",IF(A45="new.cod","NEWCOD",IF(AND((Z45=""),ISTEXT(A45),A45&lt;&gt;"!!!!!!"),A45,IF(Z45="","",INDEX('liste reference'!$A$6:$A$1174,Z45)))))</f>
        <v>PERHYD</v>
      </c>
      <c r="Z45" s="470" t="n">
        <f aca="false">IF(ISERROR(MATCH(A45,'liste reference'!$A$6:$A$1174,0)),IF(ISERROR(MATCH(A45,'liste reference'!$B$6:$B$1174,0)),"",(MATCH(A45,'liste reference'!$B$6:$B$1174,0))),(MATCH(A45,'liste reference'!$A$6:$A$1174,0)))</f>
        <v>756</v>
      </c>
    </row>
    <row r="46" customFormat="false" ht="12.75" hidden="false" customHeight="false" outlineLevel="0" collapsed="false">
      <c r="A46" s="489" t="s">
        <v>2880</v>
      </c>
      <c r="B46" s="490" t="n">
        <v>0.005</v>
      </c>
      <c r="C46" s="491"/>
      <c r="D46" s="492" t="str">
        <f aca="false">IF(ISERROR(VLOOKUP($A46,'liste reference'!$A$6:$B$1174,2,0)),IF(ISERROR(VLOOKUP($A46,'liste reference'!$B$6:$B$1174,1,0)),"",VLOOKUP($A46,'liste reference'!$B$6:$B$1174,1,0)),VLOOKUP($A46,'liste reference'!$A$6:$B$1174,2,0))</f>
        <v>Scutellaria galericulata</v>
      </c>
      <c r="E46" s="493" t="e">
        <f aca="false">IF(D46="",0,VLOOKUP(D46,D$22:D45,1,0))</f>
        <v>#N/A</v>
      </c>
      <c r="F46" s="494" t="n">
        <f aca="false">IF(AND(OR(A46="",A46="!!!!!!"),B46="",C46=""),"",IF(OR(AND(B46="",C46=""),ISERROR(C46+B46)),"!!!",($B46*$B$7+$C46*$C$7)/100))</f>
        <v>0.0045</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Scutellaria galericulata</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1796</v>
      </c>
      <c r="R46" s="484" t="n">
        <f aca="false">IF(ISTEXT(H46),"",(B46*$B$7/100)+(C46*$C$7/100))</f>
        <v>0.0045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SCUGAL</v>
      </c>
      <c r="Z46" s="470" t="n">
        <f aca="false">IF(ISERROR(MATCH(A46,'liste reference'!$A$6:$A$1174,0)),IF(ISERROR(MATCH(A46,'liste reference'!$B$6:$B$1174,0)),"",(MATCH(A46,'liste reference'!$B$6:$B$1174,0))),(MATCH(A46,'liste reference'!$A$6:$A$1174,0)))</f>
        <v>965</v>
      </c>
    </row>
    <row r="47" customFormat="false" ht="12.75" hidden="false" customHeight="false" outlineLevel="0" collapsed="false">
      <c r="A47" s="489" t="s">
        <v>2970</v>
      </c>
      <c r="B47" s="490" t="n">
        <v>0.02</v>
      </c>
      <c r="C47" s="491" t="n">
        <v>0.2</v>
      </c>
      <c r="D47" s="492" t="str">
        <f aca="false">IF(ISERROR(VLOOKUP($A47,'liste reference'!$A$6:$B$1174,2,0)),IF(ISERROR(VLOOKUP($A47,'liste reference'!$B$6:$B$1174,1,0)),"",VLOOKUP($A47,'liste reference'!$B$6:$B$1174,1,0)),VLOOKUP($A47,'liste reference'!$A$6:$B$1174,2,0))</f>
        <v>Agrostis sp.</v>
      </c>
      <c r="E47" s="493" t="e">
        <f aca="false">IF(D47="",0,VLOOKUP(D47,D$22:D46,1,0))</f>
        <v>#N/A</v>
      </c>
      <c r="F47" s="494" t="n">
        <f aca="false">IF(AND(OR(A47="",A47="!!!!!!"),B47="",C47=""),"",IF(OR(AND(B47="",C47=""),ISERROR(C47+B47)),"!!!",($B47*$B$7+$C47*$C$7)/100))</f>
        <v>0.038</v>
      </c>
      <c r="G47" s="495" t="str">
        <f aca="false">IF(A47="","",IF(ISERROR(VLOOKUP($A47,'liste reference'!$A$6:$Q$1174,9,0)),IF(ISERROR(VLOOKUP($A47,'liste reference'!$B$6:$Q$1174,8,0)),"    -",VLOOKUP($A47,'liste reference'!$B$6:$Q$1174,8,0)),VLOOKUP($A47,'liste reference'!$A$6:$Q$1174,9,0)))</f>
        <v>PHx</v>
      </c>
      <c r="H47" s="496" t="n">
        <f aca="false">IF(A47="","x",IF(ISERROR(VLOOKUP($A47,'liste reference'!$A$6:$Q$1174,10,0)),IF(ISERROR(VLOOKUP($A47,'liste reference'!$B$6:$Q$1174,9,0)),"x",VLOOKUP($A47,'liste reference'!$B$6:$Q$1174,9,0)),VLOOKUP($A47,'liste reference'!$A$6:$Q$1174,10,0)))</f>
        <v>10</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Agrostis sp.</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1542</v>
      </c>
      <c r="R47" s="484" t="n">
        <f aca="false">IF(ISTEXT(H47),"",(B47*$B$7/100)+(C47*$C$7/100))</f>
        <v>0.038</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AGRSPX</v>
      </c>
      <c r="Z47" s="470" t="n">
        <f aca="false">IF(ISERROR(MATCH(A47,'liste reference'!$A$6:$A$1174,0)),IF(ISERROR(MATCH(A47,'liste reference'!$B$6:$B$1174,0)),"",(MATCH(A47,'liste reference'!$B$6:$B$1174,0))),(MATCH(A47,'liste reference'!$A$6:$A$1174,0)))</f>
        <v>1002</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11.697</v>
      </c>
      <c r="G83" s="424"/>
      <c r="H83" s="424"/>
      <c r="I83" s="424"/>
      <c r="J83" s="424"/>
      <c r="K83" s="424"/>
      <c r="L83" s="424"/>
      <c r="M83" s="485"/>
      <c r="N83" s="485"/>
      <c r="O83" s="485"/>
      <c r="P83" s="485"/>
      <c r="Q83" s="485"/>
      <c r="R83" s="485"/>
      <c r="S83" s="485"/>
      <c r="T83" s="485"/>
      <c r="U83" s="485"/>
      <c r="V83" s="485" t="n">
        <f aca="false">SUM(V23:V82)</f>
        <v>34</v>
      </c>
      <c r="W83" s="485"/>
      <c r="X83" s="523"/>
      <c r="Y83" s="523"/>
      <c r="Z83" s="524"/>
    </row>
    <row r="84" customFormat="false" ht="12.75" hidden="true" customHeight="false" outlineLevel="0" collapsed="false">
      <c r="A84" s="518" t="str">
        <f aca="false">A3</f>
        <v>LE GRAND HERS</v>
      </c>
      <c r="B84" s="453" t="str">
        <f aca="false">C3</f>
        <v>LE GRAND HERS EN AMONT DE LA VIXIEGE</v>
      </c>
      <c r="C84" s="525" t="str">
        <f aca="false">A4</f>
        <v>(Date)</v>
      </c>
      <c r="D84" s="526" t="n">
        <f aca="false">IF(OR(ISERROR(SUM($U$23:$U$82)/SUM($V$23:$V$82)),F7&lt;&gt;100),-1,SUM($U$23:$U$82)/SUM($V$23:$V$82))</f>
        <v>9.79411764705882</v>
      </c>
      <c r="E84" s="527" t="n">
        <f aca="false">O13</f>
        <v>25</v>
      </c>
      <c r="F84" s="453" t="n">
        <f aca="false">O14</f>
        <v>19</v>
      </c>
      <c r="G84" s="453" t="n">
        <f aca="false">O15</f>
        <v>9</v>
      </c>
      <c r="H84" s="453" t="n">
        <f aca="false">O16</f>
        <v>9</v>
      </c>
      <c r="I84" s="453" t="n">
        <f aca="false">O17</f>
        <v>1</v>
      </c>
      <c r="J84" s="528" t="n">
        <f aca="false">O8</f>
        <v>9.42105263157895</v>
      </c>
      <c r="K84" s="529" t="n">
        <f aca="false">O9</f>
        <v>3.55876663250041</v>
      </c>
      <c r="L84" s="530" t="n">
        <f aca="false">O10</f>
        <v>2</v>
      </c>
      <c r="M84" s="530" t="n">
        <f aca="false">O11</f>
        <v>18</v>
      </c>
      <c r="N84" s="529" t="n">
        <f aca="false">P8</f>
        <v>1.57894736842105</v>
      </c>
      <c r="O84" s="529" t="n">
        <f aca="false">P9</f>
        <v>0.590788008437991</v>
      </c>
      <c r="P84" s="530" t="n">
        <f aca="false">P10</f>
        <v>1</v>
      </c>
      <c r="Q84" s="530" t="n">
        <f aca="false">P11</f>
        <v>3</v>
      </c>
      <c r="R84" s="530" t="n">
        <f aca="false">F21</f>
        <v>11.697</v>
      </c>
      <c r="S84" s="530" t="n">
        <f aca="false">L11</f>
        <v>0</v>
      </c>
      <c r="T84" s="530" t="n">
        <f aca="false">L12</f>
        <v>6</v>
      </c>
      <c r="U84" s="530" t="n">
        <f aca="false">L13</f>
        <v>6</v>
      </c>
      <c r="V84" s="531" t="n">
        <f aca="false">L15</f>
        <v>12</v>
      </c>
      <c r="W84" s="532" t="n">
        <f aca="false">L15</f>
        <v>12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33</v>
      </c>
      <c r="U87" s="281"/>
      <c r="V87" s="281"/>
    </row>
    <row r="88" customFormat="false" ht="12.75" hidden="true" customHeight="false" outlineLevel="0" collapsed="false">
      <c r="C88" s="534"/>
      <c r="D88" s="534"/>
      <c r="E88" s="534"/>
      <c r="R88" s="281" t="s">
        <v>3453</v>
      </c>
      <c r="S88" s="281"/>
      <c r="T88" s="536" t="n">
        <f aca="false">VLOOKUP($T$91,($A$23:$U$82),21,0)</f>
        <v>33</v>
      </c>
      <c r="U88" s="281"/>
      <c r="V88" s="281" t="n">
        <f aca="false">COUNTIF(V23:V82,T89)</f>
        <v>3</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9.67741935483871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OSCSPX</v>
      </c>
      <c r="U91" s="281" t="n">
        <f aca="false">IF(ISERROR(MATCH($T$93,'liste reference'!$A$6:$A$1174,0)),MATCH($T$93,'liste reference'!$B$6:$B$1174,0),(MATCH($T$93,'liste reference'!$A$6:$A$1174,0)))</f>
        <v>86</v>
      </c>
      <c r="V91" s="538"/>
    </row>
    <row r="92" customFormat="false" ht="12.75" hidden="true" customHeight="false" outlineLevel="0" collapsed="false">
      <c r="C92" s="534"/>
      <c r="D92" s="534"/>
      <c r="E92" s="534"/>
      <c r="R92" s="281" t="s">
        <v>3457</v>
      </c>
      <c r="S92" s="281"/>
      <c r="T92" s="281" t="n">
        <f aca="false">MATCH(T89,$V$23:$V$82,0)</f>
        <v>4</v>
      </c>
      <c r="U92" s="281"/>
    </row>
    <row r="93" customFormat="false" ht="12.75" hidden="true" customHeight="false" outlineLevel="0" collapsed="false">
      <c r="C93" s="534"/>
      <c r="D93" s="534"/>
      <c r="E93" s="534"/>
      <c r="R93" s="485" t="s">
        <v>3458</v>
      </c>
      <c r="S93" s="281"/>
      <c r="T93" s="485" t="str">
        <f aca="false">INDEX($A$23:$A$82,$T$92)</f>
        <v>OSCSPX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3489</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2017-02-20T09:59:20Z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