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<sst xmlns="http://schemas.openxmlformats.org/spreadsheetml/2006/main" count="8834" uniqueCount="3493">
  <si>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</si>
  <si>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</si>
  <si>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</si>
  <si>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</si>
  <si>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</si>
  <si>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</si>
  <si>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</si>
  <si>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</si>
  <si>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</si>
  <si>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</si>
  <si>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</si>
  <si>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</si>
  <si>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</si>
  <si>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</si>
  <si>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</si>
  <si>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</si>
  <si>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</si>
  <si>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</si>
  <si>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</si>
  <si>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</si>
  <si>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</si>
  <si>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</si>
  <si>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</si>
  <si>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</si>
  <si>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</si>
  <si>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</si>
  <si>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</si>
  <si>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</si>
  <si>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</si>
  <si>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</si>
  <si>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</si>
  <si>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</si>
  <si>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</si>
  <si>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</si>
  <si>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</si>
  <si>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</si>
  <si>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</si>
  <si>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</si>
  <si>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</si>
  <si>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</si>
  <si>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</si>
  <si>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</si>
  <si>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</si>
  <si>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</si>
  <si>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</si>
  <si>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</si>
  <si>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</si>
  <si>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</si>
  <si>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</si>
  <si>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</si>
  <si>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</si>
  <si>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</si>
  <si>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</si>
  <si>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</si>
  <si>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</si>
  <si>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</si>
  <si>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</si>
  <si>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</si>
  <si>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</si>
  <si>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</si>
  <si>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</si>
  <si>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</si>
  <si>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</si>
  <si>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</si>
  <si>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</si>
  <si>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</si>
  <si>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</si>
  <si>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</si>
  <si>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</si>
  <si>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</si>
  <si>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</si>
  <si>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</si>
  <si>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</si>
  <si>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</si>
  <si>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</si>
  <si>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</si>
  <si>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</si>
  <si>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</si>
  <si>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</si>
  <si>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</si>
  <si>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</si>
  <si>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</si>
  <si>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</si>
  <si>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</si>
  <si>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</si>
  <si>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</si>
  <si>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</si>
  <si>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</si>
  <si>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</si>
  <si>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</si>
  <si>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</si>
  <si>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</si>
  <si>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</si>
  <si>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</si>
  <si>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</si>
  <si>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</si>
  <si>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</si>
  <si>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</si>
  <si>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</si>
  <si>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</si>
  <si>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</si>
  <si>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</si>
  <si>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</si>
  <si>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</si>
  <si>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</si>
  <si>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</si>
  <si>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</si>
  <si>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</si>
  <si>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</si>
  <si>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</si>
  <si>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</si>
  <si>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</si>
  <si>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</si>
  <si>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</si>
  <si>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</si>
  <si>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</si>
  <si>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</si>
  <si>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</si>
  <si>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</si>
  <si>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</si>
  <si>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</si>
  <si>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</si>
  <si>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</si>
  <si>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</si>
  <si>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</si>
  <si>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</si>
  <si>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</si>
  <si>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</si>
  <si>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</si>
  <si>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</si>
  <si>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</si>
  <si>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</si>
  <si>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</si>
  <si>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</si>
  <si>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</si>
  <si>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</si>
  <si>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</si>
  <si>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</si>
  <si>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</si>
  <si>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</si>
  <si>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</si>
  <si>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</si>
  <si>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</si>
  <si>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</si>
  <si>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</si>
  <si>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</si>
  <si>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</si>
  <si>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</si>
  <si>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</si>
  <si>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</si>
  <si>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</si>
  <si>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</si>
  <si>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</si>
  <si>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</si>
  <si>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</si>
  <si>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</si>
  <si>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</si>
  <si>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</si>
  <si>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</si>
  <si>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</si>
  <si>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</si>
  <si>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</si>
  <si>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</si>
  <si>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</si>
  <si>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</si>
  <si>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</si>
  <si>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</si>
  <si>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</si>
  <si>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</si>
  <si>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</si>
  <si>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</si>
  <si>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</si>
  <si>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</si>
  <si>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</si>
  <si>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</si>
  <si>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</si>
  <si>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</si>
  <si>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</si>
  <si>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</si>
  <si>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</si>
  <si>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</si>
  <si>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</si>
  <si>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</si>
  <si>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</si>
  <si>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</si>
  <si>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</si>
  <si>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</si>
  <si>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</si>
  <si>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</si>
  <si>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</si>
  <si>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</si>
  <si>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</si>
  <si>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</si>
  <si>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</si>
  <si>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</si>
  <si>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</si>
  <si>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</si>
  <si>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</si>
  <si>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</si>
  <si>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</si>
  <si>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</si>
  <si>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</si>
  <si>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</si>
  <si>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</si>
  <si>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</si>
  <si>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</si>
  <si>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</si>
  <si>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</si>
  <si>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</si>
  <si>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</si>
  <si>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</si>
  <si>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</si>
  <si>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</si>
  <si>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</si>
  <si>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</si>
  <si>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</si>
  <si>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</si>
  <si>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</si>
  <si>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</si>
  <si>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</si>
  <si>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</si>
  <si>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</si>
  <si>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</si>
  <si>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</si>
  <si>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</si>
  <si>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</si>
  <si>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</si>
  <si>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</si>
  <si>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</si>
  <si>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</si>
  <si>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</si>
  <si>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</si>
  <si>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</si>
  <si>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</si>
  <si>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</si>
  <si>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</si>
  <si>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</si>
  <si>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</si>
  <si>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</si>
  <si>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</si>
  <si>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</si>
  <si>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</si>
  <si>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</si>
  <si>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</si>
  <si>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</si>
  <si>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</si>
  <si>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</si>
  <si>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</si>
  <si>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</si>
  <si>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</si>
  <si>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</si>
  <si>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</si>
  <si>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</si>
  <si>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</si>
  <si>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</si>
  <si>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</si>
  <si>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</si>
  <si>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</si>
  <si>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</si>
  <si>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</si>
  <si>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</si>
  <si>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</si>
  <si>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</si>
  <si>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</si>
  <si>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</si>
  <si>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</si>
  <si>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</si>
  <si>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</si>
  <si>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</si>
  <si>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</si>
  <si>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</si>
  <si>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</si>
  <si>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</si>
  <si>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</si>
  <si>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</si>
  <si>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</si>
  <si>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</si>
  <si>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</si>
  <si>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</si>
  <si>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</si>
  <si>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</si>
  <si>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</si>
  <si>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</si>
  <si>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</si>
  <si>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</si>
  <si>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</si>
  <si>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</si>
  <si>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</si>
  <si>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</si>
  <si>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</si>
  <si>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</si>
  <si>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</si>
  <si>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</si>
  <si>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</si>
  <si>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</si>
  <si>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</si>
  <si>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</si>
  <si>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</si>
  <si>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</si>
  <si>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</si>
  <si>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</si>
  <si>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</si>
  <si>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</si>
  <si>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</si>
  <si>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</si>
  <si>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</si>
  <si>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</si>
  <si>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</si>
  <si>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</si>
  <si>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</si>
  <si>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</si>
  <si>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</si>
  <si>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</si>
  <si>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</si>
  <si>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</si>
  <si>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</si>
  <si>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</si>
  <si>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</si>
  <si>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</si>
  <si>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</si>
  <si>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</si>
  <si>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</si>
  <si>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</si>
  <si>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</si>
  <si>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</si>
  <si>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</si>
  <si>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</si>
  <si>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</si>
  <si>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</si>
  <si>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</si>
  <si>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</si>
  <si>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</si>
  <si>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</si>
  <si>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</si>
  <si>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</si>
  <si>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</si>
  <si>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</si>
  <si>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</si>
  <si>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</si>
  <si>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</si>
  <si>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</si>
  <si>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</si>
  <si>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</si>
  <si>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</si>
  <si>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</si>
  <si>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</si>
  <si>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</si>
  <si>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</si>
  <si>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</si>
  <si>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</si>
  <si>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</si>
  <si>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</si>
  <si>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</si>
  <si>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</si>
  <si>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</si>
  <si>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</si>
  <si>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</si>
  <si>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</si>
  <si>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</si>
  <si>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</si>
  <si>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</si>
  <si>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</si>
  <si>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</si>
  <si>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</si>
  <si>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</si>
  <si>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</si>
  <si>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</si>
  <si>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</si>
  <si>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</si>
  <si>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</si>
  <si>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</si>
  <si>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</si>
  <si>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</si>
  <si>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</si>
  <si>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</si>
  <si>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</si>
  <si>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</si>
  <si>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</si>
  <si>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</si>
  <si>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</si>
  <si>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</si>
  <si>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</si>
  <si>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</si>
  <si>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</si>
  <si>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</si>
  <si>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</si>
  <si>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</si>
  <si>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</si>
  <si>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</si>
  <si>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</si>
  <si>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</si>
  <si>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</si>
  <si>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</si>
  <si>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</si>
  <si>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</si>
  <si>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</si>
  <si>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</si>
  <si>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</si>
  <si>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</si>
  <si>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</si>
  <si>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</si>
  <si>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</si>
  <si>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</si>
  <si>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</si>
  <si>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</si>
  <si>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</si>
  <si>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</si>
  <si>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</si>
  <si>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</si>
  <si>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</si>
  <si>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</si>
  <si>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</si>
  <si>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</si>
  <si>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</si>
  <si>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</si>
  <si>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</si>
  <si>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</si>
  <si>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</si>
  <si>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</si>
  <si>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</si>
  <si>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</si>
  <si>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</si>
  <si>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</si>
  <si>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</si>
  <si>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</si>
  <si>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</si>
  <si>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</si>
  <si>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</si>
  <si>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</si>
  <si>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</si>
  <si>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</si>
  <si>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</si>
  <si>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</si>
  <si>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</si>
  <si>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</si>
  <si>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</si>
  <si>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</si>
  <si>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</si>
  <si>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</si>
  <si>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</si>
  <si>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</si>
  <si>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</si>
  <si>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</si>
  <si>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</si>
  <si>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</si>
  <si>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</si>
  <si>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</si>
  <si>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</si>
  <si>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</si>
  <si>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</si>
  <si>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</si>
  <si>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</si>
  <si>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</si>
  <si>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</si>
  <si>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</si>
  <si>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</si>
  <si>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</si>
  <si>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</si>
  <si>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</si>
  <si>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</si>
  <si>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</si>
  <si>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</si>
  <si>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</si>
  <si>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</si>
  <si>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</si>
  <si>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</si>
  <si>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</si>
  <si>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</si>
  <si>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</si>
  <si>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</si>
  <si>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</si>
  <si>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</si>
  <si>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</si>
  <si>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</si>
  <si>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</si>
  <si>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</si>
  <si>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</si>
  <si>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</si>
  <si>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</si>
  <si>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</si>
  <si>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</si>
  <si>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</si>
  <si>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</si>
  <si>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</si>
  <si>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</si>
  <si>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</si>
  <si>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</si>
  <si>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</si>
  <si>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</si>
  <si>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</si>
  <si>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</si>
  <si>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</si>
  <si>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</si>
  <si>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</si>
  <si>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</si>
  <si>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</si>
  <si>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</si>
  <si>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</si>
  <si>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</si>
  <si>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</si>
  <si>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</si>
  <si>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</si>
  <si>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</si>
  <si>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</si>
  <si>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</si>
  <si>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</si>
  <si>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</si>
  <si>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</si>
  <si>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</si>
  <si>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</si>
  <si>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</si>
  <si>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</si>
  <si>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</si>
  <si>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</si>
  <si>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</si>
  <si>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</si>
  <si>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</si>
  <si>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</si>
  <si>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</si>
  <si>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</si>
  <si>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</si>
  <si>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</si>
  <si>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</si>
  <si>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</si>
  <si>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</si>
  <si>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</si>
  <si>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</si>
  <si>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</si>
  <si>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</si>
  <si>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</si>
  <si>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</si>
  <si>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</si>
  <si>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</si>
  <si>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</si>
  <si>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</si>
  <si>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</si>
  <si>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</si>
  <si>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</si>
  <si>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</si>
  <si>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</si>
  <si>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</si>
  <si>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</si>
  <si>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</si>
  <si>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</si>
  <si>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</si>
  <si>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</si>
  <si>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</si>
  <si>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</si>
  <si>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</si>
  <si>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</si>
  <si>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</si>
  <si>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</si>
  <si>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</si>
  <si>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</si>
  <si>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</si>
  <si>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</si>
  <si>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</si>
  <si>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</si>
  <si>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</si>
  <si>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</si>
  <si>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</si>
  <si>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</si>
  <si>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</si>
  <si>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</si>
  <si>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</si>
  <si>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</si>
  <si>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</si>
  <si>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</si>
  <si>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</si>
  <si>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</si>
  <si>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</si>
  <si>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</si>
  <si>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</si>
  <si>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</si>
  <si>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</si>
  <si>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</si>
  <si>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</si>
  <si>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</si>
  <si>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</si>
  <si>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</si>
  <si>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</si>
  <si>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</si>
  <si>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</si>
  <si>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</si>
  <si>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</si>
  <si>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</si>
  <si>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</si>
  <si>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</si>
  <si>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</si>
  <si>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</si>
  <si>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</si>
  <si>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</si>
  <si>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</si>
  <si>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</si>
  <si>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</si>
  <si>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</si>
  <si>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</si>
  <si>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</si>
  <si>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</si>
  <si>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</si>
  <si>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</si>
  <si>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</si>
  <si>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</si>
  <si>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</si>
  <si>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</si>
  <si>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</si>
  <si>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</si>
  <si>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</si>
  <si>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</si>
  <si>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</si>
  <si>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</si>
  <si>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</si>
  <si>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</si>
  <si>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</si>
  <si>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</si>
  <si>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</si>
  <si>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</si>
  <si>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</si>
  <si>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</si>
  <si>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</si>
  <si>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</si>
  <si>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</si>
  <si>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</si>
  <si>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</si>
  <si>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</si>
  <si>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</si>
  <si>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</si>
  <si>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</si>
  <si>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</si>
  <si>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</si>
  <si>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</si>
  <si>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</si>
  <si>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</si>
  <si>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</si>
  <si>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</si>
  <si>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</si>
  <si>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</si>
  <si>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</si>
  <si>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</si>
  <si>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</si>
  <si>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</si>
  <si>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</si>
  <si>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</si>
  <si>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</si>
  <si>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</si>
  <si>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</si>
  <si>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</si>
  <si>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</si>
  <si>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</si>
  <si>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</si>
  <si>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</si>
  <si>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</si>
  <si>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</si>
  <si>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</si>
  <si>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</si>
  <si>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</si>
  <si>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</si>
  <si>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</si>
  <si>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</si>
  <si>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</si>
  <si>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</si>
  <si>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</si>
  <si>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</si>
  <si>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</si>
  <si>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</si>
  <si>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</si>
  <si>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</si>
  <si>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</si>
  <si>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</si>
  <si>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</si>
  <si>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</si>
  <si>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</si>
  <si>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</si>
  <si>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</si>
  <si>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</si>
  <si>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</si>
  <si>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</si>
  <si>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</si>
  <si>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</si>
  <si>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</si>
  <si>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</si>
  <si>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</si>
  <si>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</si>
  <si>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</si>
  <si>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</si>
  <si>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</si>
  <si>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</si>
  <si>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</si>
  <si>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</si>
  <si>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</si>
  <si>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</si>
  <si>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</si>
  <si>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</si>
  <si>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</si>
  <si>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</si>
  <si>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</si>
  <si>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</si>
  <si>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</si>
  <si>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</si>
  <si>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</si>
  <si>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</si>
  <si>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</si>
  <si>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</si>
  <si>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</si>
  <si>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</si>
  <si>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</si>
  <si>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</si>
  <si>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</si>
  <si>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</si>
  <si>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</si>
  <si>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</si>
  <si>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</si>
  <si>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</si>
  <si>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</si>
  <si>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</si>
  <si>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</si>
  <si>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</si>
  <si>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</si>
  <si>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</si>
  <si>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</si>
  <si>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</si>
  <si>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</si>
  <si>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</si>
  <si>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</si>
  <si>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</si>
  <si>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</si>
  <si>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</si>
  <si>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</si>
  <si>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</si>
  <si>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</si>
  <si>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</si>
  <si>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</si>
  <si>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</si>
  <si>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</si>
  <si>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</si>
  <si>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</si>
  <si>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</si>
  <si>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</si>
  <si>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</si>
  <si>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</si>
  <si>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</si>
  <si>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</si>
  <si>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</si>
  <si>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</si>
  <si>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</si>
  <si>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</si>
  <si>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</si>
  <si>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</si>
  <si>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</si>
  <si>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</si>
  <si>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</si>
  <si>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</si>
  <si>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</si>
  <si>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</si>
  <si>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</si>
  <si>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</si>
  <si>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</si>
  <si>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</si>
  <si>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</si>
  <si>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</si>
  <si>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</si>
  <si>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</si>
  <si>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</si>
  <si>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</si>
  <si>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</si>
  <si>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</si>
  <si>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</si>
  <si>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</si>
  <si>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</si>
  <si>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</si>
  <si>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</si>
  <si>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</si>
  <si>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</si>
  <si>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</si>
  <si>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</si>
  <si>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</si>
  <si>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</si>
  <si>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</si>
  <si>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</si>
  <si>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</si>
  <si>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</si>
  <si>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</si>
  <si>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</si>
  <si>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</si>
  <si>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</si>
  <si>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</si>
  <si>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</si>
  <si>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</si>
  <si>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</si>
  <si>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</si>
  <si>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</si>
  <si>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</si>
  <si>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</si>
  <si>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</si>
  <si>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</si>
  <si>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</si>
  <si>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</si>
  <si>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</si>
  <si>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</si>
  <si>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</si>
  <si>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</si>
  <si>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</si>
  <si>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</si>
  <si>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</si>
  <si>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</si>
  <si>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</si>
  <si>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</si>
  <si>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</si>
  <si>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</si>
  <si>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</si>
  <si>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</si>
  <si>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</si>
  <si>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</si>
  <si>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</si>
  <si>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</si>
  <si>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</si>
  <si>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</si>
  <si>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</si>
  <si>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</si>
  <si>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</si>
  <si>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</si>
  <si>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</si>
  <si>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</si>
  <si>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</si>
  <si>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</si>
  <si>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</si>
  <si>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</si>
  <si>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</si>
  <si>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</si>
  <si>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</si>
  <si>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</si>
  <si>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</si>
  <si>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</si>
  <si>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</si>
  <si>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</si>
  <si>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</si>
  <si>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</si>
  <si>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</si>
  <si>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</si>
  <si>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</si>
  <si>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</si>
  <si>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</si>
  <si>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</si>
  <si>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</si>
  <si>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</si>
  <si>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</si>
  <si>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</si>
  <si>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</si>
  <si>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</si>
  <si>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</si>
  <si>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</si>
  <si>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</si>
  <si>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</si>
  <si>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</si>
  <si>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</si>
  <si>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</si>
  <si>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</si>
  <si>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</si>
  <si>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</si>
  <si>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</si>
  <si>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</si>
  <si>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</si>
  <si>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</si>
  <si>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</si>
  <si>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</si>
  <si>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</si>
  <si>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</si>
  <si>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</si>
  <si>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</si>
  <si>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</si>
  <si>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</si>
  <si>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</si>
  <si>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</si>
  <si>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</si>
  <si>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</si>
  <si>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</si>
  <si>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</si>
  <si>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</si>
  <si>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</si>
  <si>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</si>
  <si>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</si>
  <si>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</si>
  <si>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</si>
  <si>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</si>
  <si>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</si>
  <si>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</si>
  <si>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</si>
  <si>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</si>
  <si>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</si>
  <si>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</si>
  <si>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</si>
  <si>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</si>
  <si>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</si>
  <si>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</si>
  <si>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</si>
  <si>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</si>
  <si>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</si>
  <si>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</si>
  <si>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</si>
  <si>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</si>
  <si>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</si>
  <si>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</si>
  <si>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</si>
  <si>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</si>
  <si>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</si>
  <si>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</si>
  <si>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</si>
  <si>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</si>
  <si>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</si>
  <si>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</si>
  <si>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</si>
  <si>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</si>
  <si>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</si>
  <si>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</si>
  <si>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</si>
  <si>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</si>
  <si>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</si>
  <si>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</si>
  <si>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</si>
  <si>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</si>
  <si>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</si>
  <si>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</si>
  <si>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</si>
  <si>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</si>
  <si>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</si>
  <si>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</si>
  <si>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</si>
  <si>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</si>
  <si>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</si>
  <si>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</si>
  <si>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</si>
  <si>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</si>
  <si>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</si>
  <si>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</si>
  <si>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</si>
  <si>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</si>
  <si>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</si>
  <si>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</si>
  <si>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</si>
  <si>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</si>
  <si>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</si>
  <si>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</si>
  <si>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</si>
  <si>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</si>
  <si>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</si>
  <si>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</si>
  <si>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</si>
  <si>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</si>
  <si>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</si>
  <si>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</si>
  <si>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</si>
  <si>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</si>
  <si>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</si>
  <si>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</si>
  <si>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</si>
  <si>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</si>
  <si>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</si>
  <si>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</si>
  <si>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</si>
  <si>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</si>
  <si>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</si>
  <si>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</si>
  <si>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</si>
  <si>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</si>
  <si>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</si>
  <si>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</si>
  <si>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</si>
  <si>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</si>
  <si>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</si>
  <si>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</si>
  <si>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</si>
  <si>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</si>
  <si>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</si>
  <si>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</si>
  <si>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</si>
  <si>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</si>
  <si>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</si>
  <si>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</si>
  <si>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</si>
  <si>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</si>
  <si>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</si>
  <si>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</si>
  <si>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</si>
  <si>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</si>
  <si>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</si>
  <si>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</si>
  <si>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</si>
  <si>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</si>
  <si>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</si>
  <si>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</si>
  <si>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</si>
  <si>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</si>
  <si>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</si>
  <si>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</si>
  <si>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</si>
  <si>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</si>
  <si>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</si>
  <si>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</si>
  <si>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</si>
  <si>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</si>
  <si>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</si>
  <si>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</si>
  <si>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</si>
  <si>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</si>
  <si>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</si>
  <si>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</si>
  <si>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</si>
  <si>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</si>
  <si>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</si>
  <si>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</si>
  <si>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</si>
  <si>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</si>
  <si>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</si>
  <si>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</si>
  <si>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</si>
  <si>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</si>
  <si>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</si>
  <si>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</si>
  <si>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</si>
  <si>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</si>
  <si>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</si>
  <si>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</si>
  <si>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</si>
  <si>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</si>
  <si>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</si>
  <si>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</si>
  <si>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</si>
  <si>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</si>
  <si>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</si>
  <si>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</si>
  <si>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</si>
  <si>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</si>
  <si>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</si>
  <si>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</si>
  <si>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</si>
  <si>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</si>
  <si>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</si>
  <si>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</si>
  <si>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</si>
  <si>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</si>
  <si>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</si>
  <si>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</si>
  <si>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</si>
  <si>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</si>
  <si>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</si>
  <si>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</si>
  <si>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</si>
  <si>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</si>
  <si>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</si>
  <si>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</si>
  <si>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</si>
  <si>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</si>
  <si>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</si>
  <si>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</si>
  <si>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</si>
  <si>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</si>
  <si>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</si>
  <si>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</si>
  <si>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</si>
  <si>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</si>
  <si>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</si>
  <si>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</si>
  <si>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</si>
  <si>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</si>
  <si>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</si>
  <si>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</si>
  <si>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</si>
  <si>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</si>
  <si>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</si>
  <si>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</si>
  <si>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</si>
  <si>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</si>
  <si>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</si>
  <si>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</si>
  <si>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</si>
  <si>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</si>
  <si>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</si>
  <si>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</si>
  <si>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</si>
  <si>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</si>
  <si>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</si>
  <si>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</si>
  <si>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</si>
  <si>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</si>
  <si>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</si>
  <si>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</si>
  <si>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</si>
  <si>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</si>
  <si>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</si>
  <si>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</si>
  <si>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</si>
  <si>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</si>
  <si>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</si>
  <si>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</si>
  <si>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</si>
  <si>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</si>
  <si>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</si>
  <si>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</si>
  <si>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</si>
  <si>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</si>
  <si>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</si>
  <si>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</si>
  <si>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</si>
  <si>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</si>
  <si>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</si>
  <si>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</si>
  <si>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</si>
  <si>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</si>
  <si>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</si>
  <si>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</si>
  <si>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</si>
  <si>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</si>
  <si>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</si>
  <si>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</si>
  <si>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</si>
  <si>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</si>
  <si>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</si>
  <si>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</si>
  <si>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</si>
  <si>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</si>
  <si>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</si>
  <si>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</si>
  <si>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</si>
  <si>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</si>
  <si>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</si>
  <si>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</si>
  <si>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</si>
  <si>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</si>
  <si>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</si>
  <si>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</si>
  <si>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</si>
  <si>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</si>
  <si>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</si>
  <si>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</si>
  <si>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</si>
  <si>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</si>
  <si>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</si>
  <si>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</si>
  <si>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</si>
  <si>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</si>
  <si>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</si>
  <si>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</si>
  <si>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</si>
  <si>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</si>
  <si>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</si>
  <si>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</si>
  <si>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</si>
  <si>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</si>
  <si>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</si>
  <si>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</si>
  <si>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</si>
  <si>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</si>
  <si>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</si>
  <si>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</si>
  <si>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</si>
  <si>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</si>
  <si>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</si>
  <si>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</si>
  <si>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</si>
  <si>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</si>
  <si>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</si>
  <si>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</si>
  <si>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</si>
  <si>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</si>
  <si>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</si>
  <si>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</si>
  <si>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</si>
  <si>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</si>
  <si>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</si>
  <si>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</si>
  <si>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</si>
  <si>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</si>
  <si>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</si>
  <si>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</si>
  <si>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</si>
  <si>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</si>
  <si>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</si>
  <si>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</si>
  <si>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</si>
  <si>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</si>
  <si>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</si>
  <si>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</si>
  <si>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</si>
  <si>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</si>
  <si>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</si>
  <si>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</si>
  <si>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</si>
  <si>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</si>
  <si>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</si>
  <si>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</si>
  <si>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</si>
  <si>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</si>
  <si>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</si>
  <si>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</si>
  <si>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</si>
  <si>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</si>
  <si>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</si>
  <si>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</si>
  <si>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</si>
  <si>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</si>
  <si>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</si>
  <si>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</si>
  <si>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</si>
  <si>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</si>
  <si>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</si>
  <si>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</si>
  <si>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</si>
  <si>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</si>
  <si>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</si>
  <si>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</si>
  <si>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</si>
  <si>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</si>
  <si>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</si>
  <si>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</si>
  <si>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</si>
  <si>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</si>
  <si>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</si>
  <si>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</si>
  <si>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</si>
  <si>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</si>
  <si>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</si>
  <si>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</si>
  <si>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</si>
  <si>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</si>
  <si>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</si>
  <si>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</si>
  <si>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</si>
  <si>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</si>
  <si>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</si>
  <si>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</si>
  <si>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</si>
  <si>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</si>
  <si>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</si>
  <si>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</si>
  <si>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</si>
  <si>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</si>
  <si>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</si>
  <si>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</si>
  <si>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</si>
  <si>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</si>
  <si>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</si>
  <si>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</si>
  <si>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</si>
  <si>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</si>
  <si>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</si>
  <si>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</si>
  <si>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</si>
  <si>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</si>
  <si>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</si>
  <si>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</si>
  <si>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</si>
  <si>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</si>
  <si>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</si>
  <si>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</si>
  <si>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</si>
  <si>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</si>
  <si>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</si>
  <si>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</si>
  <si>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</si>
  <si>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</si>
  <si>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</si>
  <si>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</si>
  <si>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</si>
  <si>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</si>
  <si>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</si>
  <si>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</si>
  <si>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</si>
  <si>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</si>
  <si>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</si>
  <si>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</si>
  <si>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</si>
  <si>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</si>
  <si>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</si>
  <si>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</si>
  <si>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</si>
  <si>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</si>
  <si>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</si>
  <si>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</si>
  <si>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</si>
  <si>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</si>
  <si>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</si>
  <si>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</si>
  <si>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</si>
  <si>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</si>
  <si>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</si>
  <si>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</si>
  <si>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</si>
  <si>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</si>
  <si>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</si>
  <si>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</si>
  <si>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</si>
  <si>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</si>
  <si>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</si>
  <si>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</si>
  <si>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</si>
  <si>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</si>
  <si>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</si>
  <si>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</si>
  <si>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</si>
  <si>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</si>
  <si>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</si>
  <si>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</si>
  <si>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</si>
  <si>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</si>
  <si>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</si>
  <si>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</si>
  <si>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</si>
  <si>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</si>
  <si>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</si>
  <si>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</si>
  <si>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</si>
  <si>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</si>
  <si>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</si>
  <si>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</si>
  <si>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</si>
  <si>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</si>
  <si>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</si>
  <si>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</si>
  <si>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</si>
  <si>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</si>
  <si>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</si>
  <si>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</si>
  <si>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</si>
  <si>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</si>
  <si>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</si>
  <si>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</si>
  <si>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</si>
  <si>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</si>
  <si>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</si>
  <si>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</si>
  <si>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</si>
  <si>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</si>
  <si>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</si>
  <si>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</si>
  <si>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</si>
  <si>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</si>
  <si>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</si>
  <si>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</si>
  <si>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</si>
  <si>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</si>
  <si>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</si>
  <si>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</si>
  <si>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</si>
  <si>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</si>
  <si>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</si>
  <si>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</si>
  <si>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</si>
  <si>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</si>
  <si>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</si>
  <si>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</si>
  <si>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</si>
  <si>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</si>
  <si>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</si>
  <si>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</si>
  <si>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</si>
  <si>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</si>
  <si>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</si>
  <si>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</si>
  <si>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</si>
  <si>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</si>
  <si>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</si>
  <si>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</si>
  <si>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</si>
  <si>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</si>
  <si>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</si>
  <si>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</si>
  <si>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</si>
  <si>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</si>
  <si>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</si>
  <si>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</si>
  <si>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</si>
  <si>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</si>
  <si>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</si>
  <si>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</si>
  <si>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</si>
  <si>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</si>
  <si>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</si>
  <si>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</si>
  <si>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</si>
  <si>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</si>
  <si>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</si>
  <si>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</si>
  <si>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</si>
  <si>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</si>
  <si>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</si>
  <si>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</si>
  <si>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</si>
  <si>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</si>
  <si>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</si>
  <si>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</si>
  <si>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</si>
  <si>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</si>
  <si>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</si>
  <si>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</si>
  <si>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</si>
  <si>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</si>
  <si>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</si>
  <si>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</si>
  <si>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</si>
  <si>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</si>
  <si>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</si>
  <si>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</si>
  <si>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</si>
  <si>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</si>
  <si>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</si>
  <si>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</si>
  <si>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</si>
  <si>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</si>
  <si>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</si>
  <si>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</si>
  <si>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</si>
  <si>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</si>
  <si>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</si>
  <si>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</si>
  <si>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</si>
  <si>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</si>
  <si>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</si>
  <si>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</si>
  <si>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</si>
  <si>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</si>
  <si>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</si>
  <si>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</si>
  <si>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</si>
  <si>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</si>
  <si>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</si>
  <si>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</si>
  <si>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</si>
  <si>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</si>
  <si>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</si>
  <si>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</si>
  <si>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</si>
  <si>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</si>
  <si>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</si>
  <si>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</si>
  <si>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</si>
  <si>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</si>
  <si>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</si>
  <si>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</si>
  <si>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</si>
  <si>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</si>
  <si>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</si>
  <si>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</si>
  <si>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</si>
  <si>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</si>
  <si>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</si>
  <si>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</si>
  <si>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</si>
  <si>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</si>
  <si>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</si>
  <si>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</si>
  <si>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</si>
  <si>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</si>
  <si>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</si>
  <si>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</si>
  <si>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</si>
  <si>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</si>
  <si>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</si>
  <si>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</si>
  <si>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</si>
  <si>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</si>
  <si>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</si>
  <si>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</si>
  <si>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</si>
  <si>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</si>
  <si>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</si>
  <si>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</si>
  <si>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</si>
  <si>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</si>
  <si>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</si>
  <si>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</si>
  <si>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</si>
  <si>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</si>
  <si>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</si>
  <si>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</si>
  <si>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</si>
  <si>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</si>
  <si>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</si>
  <si>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</si>
  <si>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</si>
  <si>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</si>
  <si>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</si>
  <si>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</si>
  <si>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</si>
  <si>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</si>
  <si>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</si>
  <si>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</si>
  <si>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</si>
  <si>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</si>
  <si>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</si>
  <si>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</si>
  <si>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</si>
  <si>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</si>
  <si>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</si>
  <si>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</si>
  <si>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</si>
  <si>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</si>
  <si>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</si>
  <si>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</si>
  <si>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</si>
  <si>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</si>
  <si>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</si>
  <si>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</si>
  <si>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</si>
  <si>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</si>
  <si>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</si>
  <si>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</si>
  <si>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</si>
  <si>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</si>
  <si>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</si>
  <si>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</si>
  <si>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</si>
  <si>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</si>
  <si>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</si>
  <si>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</si>
  <si>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</si>
  <si>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</si>
  <si>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</si>
  <si>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</si>
  <si>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</si>
  <si>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</si>
  <si>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</si>
  <si>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</si>
  <si>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</si>
  <si>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</si>
  <si>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</si>
  <si>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</si>
  <si>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</si>
  <si>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</si>
  <si>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</si>
  <si>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</si>
  <si>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</si>
  <si>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</si>
  <si>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</si>
  <si>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</si>
  <si>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</si>
  <si>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</si>
  <si>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</si>
  <si>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</si>
  <si>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</si>
  <si>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</si>
  <si>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</si>
  <si>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</si>
  <si>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</si>
  <si>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</si>
  <si>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</si>
  <si>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</si>
  <si>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</si>
  <si>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</si>
  <si>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</si>
  <si>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</si>
  <si>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</si>
  <si>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</si>
  <si>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</si>
  <si>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</si>
  <si>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</si>
  <si>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</si>
  <si>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</si>
  <si>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</si>
  <si>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</si>
  <si>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</si>
  <si>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</si>
  <si>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</si>
  <si>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</si>
  <si>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</si>
  <si>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</si>
  <si>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</si>
  <si>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</si>
  <si>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</si>
  <si>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</si>
  <si>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</si>
  <si>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</si>
  <si>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</si>
  <si>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</si>
  <si>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</si>
  <si>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</si>
  <si>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</si>
  <si>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</si>
  <si>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</si>
  <si>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</si>
  <si>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</si>
  <si>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</si>
  <si>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</si>
  <si>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</si>
  <si>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</si>
  <si>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</si>
  <si>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</si>
  <si>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</si>
  <si>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</si>
  <si>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</si>
  <si>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</si>
  <si>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</si>
  <si>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</si>
  <si>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</si>
  <si>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</si>
  <si>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</si>
  <si>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</si>
  <si>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</si>
  <si>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</si>
  <si>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</si>
  <si>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</si>
  <si>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</si>
  <si>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</si>
  <si>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</si>
  <si>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</si>
  <si>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</si>
  <si>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</si>
  <si>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</si>
  <si>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</si>
  <si>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</si>
  <si>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</si>
  <si>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</si>
  <si>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</si>
  <si>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</si>
  <si>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</si>
  <si>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</si>
  <si>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</si>
  <si>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</si>
  <si>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</si>
  <si>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</si>
  <si>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</si>
  <si>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</si>
  <si>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</si>
  <si>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</si>
  <si>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</si>
  <si>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</si>
  <si>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</si>
  <si>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</si>
  <si>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</si>
  <si>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</si>
  <si>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</si>
  <si>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</si>
  <si>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</si>
  <si>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</si>
  <si>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</si>
  <si>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</si>
  <si>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</si>
  <si>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</si>
  <si>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</si>
  <si>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</si>
  <si>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</si>
  <si>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</si>
  <si>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</si>
  <si>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</si>
  <si>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</si>
  <si>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</si>
  <si>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</si>
  <si>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</si>
  <si>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</si>
  <si>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</si>
  <si>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</si>
  <si>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</si>
  <si>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</si>
  <si>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</si>
  <si>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</si>
  <si>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</si>
  <si>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</si>
  <si>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</si>
  <si>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</si>
  <si>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</si>
  <si>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</si>
  <si>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</si>
  <si>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</si>
  <si>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</si>
  <si>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</si>
  <si>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</si>
  <si>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</si>
  <si>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</si>
  <si>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</si>
  <si>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</si>
  <si>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</si>
  <si>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</si>
  <si>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</si>
  <si>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</si>
  <si>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</si>
  <si>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</si>
  <si>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</si>
  <si>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</si>
  <si>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</si>
  <si>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</si>
  <si>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</si>
  <si>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</si>
  <si>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</si>
  <si>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</si>
  <si>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</si>
  <si>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</si>
  <si>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</si>
  <si>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</si>
  <si>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</si>
  <si>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</si>
  <si>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</si>
  <si>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</si>
  <si>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</si>
  <si>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</si>
  <si>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</si>
  <si>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</si>
  <si>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</si>
  <si>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</si>
  <si>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</si>
  <si>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</si>
  <si>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</si>
  <si>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</si>
  <si>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</si>
  <si>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</si>
  <si>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</si>
  <si>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</si>
  <si>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</si>
  <si>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</si>
  <si>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</si>
  <si>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</si>
  <si>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</si>
  <si>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</si>
  <si>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</si>
  <si>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</si>
  <si>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</si>
  <si>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</si>
  <si>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</si>
  <si>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</si>
  <si>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</si>
  <si>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</si>
  <si>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</si>
  <si>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</si>
  <si>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</si>
  <si>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</si>
  <si>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</si>
  <si>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</si>
  <si>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</si>
  <si>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</si>
  <si>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</si>
  <si>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</si>
  <si>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</si>
  <si>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</si>
  <si>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</si>
  <si>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</si>
  <si>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</si>
  <si>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</si>
  <si>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</si>
  <si>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</si>
  <si>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</si>
  <si>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</si>
  <si>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</si>
  <si>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</si>
  <si>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</si>
  <si>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</si>
  <si>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</si>
  <si>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</si>
  <si>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</si>
  <si>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</si>
  <si>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</si>
  <si>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</si>
  <si>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</si>
  <si>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</si>
  <si>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</si>
  <si>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</si>
  <si>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</si>
  <si>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</si>
  <si>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</si>
  <si>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</si>
  <si>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</si>
  <si>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</si>
  <si>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</si>
  <si>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</si>
  <si>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</si>
  <si>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</si>
  <si>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</si>
  <si>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</si>
  <si>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</si>
  <si>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</si>
  <si>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</si>
  <si>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</si>
  <si>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</si>
  <si>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</si>
  <si>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</si>
  <si>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</si>
  <si>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</si>
  <si>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</si>
  <si>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</si>
  <si>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</si>
  <si>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</si>
  <si>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</si>
  <si>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</si>
  <si>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</si>
  <si>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</si>
  <si>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</si>
  <si>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</si>
  <si>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</si>
  <si>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</si>
  <si>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</si>
  <si>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</si>
  <si>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</si>
  <si>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</si>
  <si>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</si>
  <si>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</si>
  <si>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</si>
  <si>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</si>
  <si>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</si>
  <si>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</si>
  <si>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</si>
  <si>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</si>
  <si>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</si>
  <si>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</si>
  <si>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</si>
  <si>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</si>
  <si>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</si>
  <si>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</si>
  <si>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</si>
  <si>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</si>
  <si>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</si>
  <si>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</si>
  <si>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</si>
  <si>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</si>
  <si>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</si>
  <si>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</si>
  <si>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</si>
  <si>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</si>
  <si>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</si>
  <si>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</si>
  <si>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</si>
  <si>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</si>
  <si>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</si>
  <si>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</si>
  <si>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</si>
  <si>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</si>
  <si>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</si>
  <si>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</si>
  <si>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</si>
  <si>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</si>
  <si>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</si>
  <si>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</si>
  <si>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</si>
  <si>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</si>
  <si>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</si>
  <si>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</si>
  <si>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</si>
  <si>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</si>
  <si>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</si>
  <si>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</si>
  <si>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</si>
  <si>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</si>
  <si>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</si>
  <si>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</si>
  <si>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</si>
  <si>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</si>
  <si>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</si>
  <si>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</si>
  <si>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</si>
  <si>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</si>
  <si>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</si>
  <si>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</si>
  <si>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</si>
  <si>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</si>
  <si>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</si>
  <si>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</si>
  <si>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</si>
  <si>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</si>
  <si>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</si>
  <si>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</si>
  <si>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</si>
  <si>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</si>
  <si>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</si>
  <si>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</si>
  <si>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</si>
  <si>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</si>
  <si>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</si>
  <si>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</si>
  <si>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</si>
  <si>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</si>
  <si>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</si>
  <si>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</si>
  <si>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</si>
  <si>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</si>
  <si>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</si>
  <si>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</si>
  <si>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</si>
  <si>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</si>
  <si>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</si>
  <si>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</si>
  <si>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</si>
  <si>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</si>
  <si>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</si>
  <si>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</si>
  <si>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</si>
  <si>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</si>
  <si>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</si>
  <si>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</si>
  <si>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</si>
  <si>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</si>
  <si>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</si>
  <si>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</si>
  <si>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</si>
  <si>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</si>
  <si>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</si>
  <si>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</si>
  <si>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</si>
  <si>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</si>
  <si>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</si>
  <si>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</si>
  <si>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</si>
  <si>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</si>
  <si>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</si>
  <si>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</si>
  <si>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</si>
  <si>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</si>
  <si>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</si>
  <si>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</si>
  <si>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</si>
  <si>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</si>
  <si>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</si>
  <si>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</si>
  <si>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</si>
  <si>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</si>
  <si>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</si>
  <si>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</si>
  <si>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</si>
  <si>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</si>
  <si>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</si>
  <si>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</si>
  <si>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</si>
  <si>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</si>
  <si>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</si>
  <si>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</si>
  <si>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</si>
  <si>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</si>
  <si>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</si>
  <si>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</si>
  <si>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</si>
  <si>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</si>
  <si>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</si>
  <si>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</si>
  <si>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</si>
  <si>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</si>
  <si>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</si>
  <si>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</si>
  <si>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</si>
  <si>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</si>
  <si>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</si>
  <si>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</si>
  <si>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</si>
  <si>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</si>
  <si>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</si>
  <si>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</si>
  <si>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</si>
  <si>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</si>
  <si>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</si>
  <si>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</si>
  <si>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</si>
  <si>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</si>
  <si>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</si>
  <si>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</si>
  <si>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</si>
  <si>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</si>
  <si>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</si>
  <si>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</si>
  <si>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</si>
  <si>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</si>
  <si>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</si>
  <si>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</si>
  <si>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</si>
  <si>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</si>
  <si>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</si>
  <si>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</si>
  <si>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</si>
  <si>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</si>
  <si>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</si>
  <si>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</si>
  <si>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</si>
  <si>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</si>
  <si>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</si>
  <si>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</si>
  <si>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</si>
  <si>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</si>
  <si>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</si>
  <si>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</si>
  <si>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</si>
  <si>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</si>
  <si>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</si>
  <si>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</si>
  <si>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</si>
  <si>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</si>
  <si>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</si>
  <si>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</si>
  <si>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</si>
  <si>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</si>
  <si>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</si>
  <si>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</si>
  <si>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</si>
  <si>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</si>
  <si>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</si>
  <si>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</si>
  <si>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</si>
  <si>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</si>
  <si>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</si>
  <si>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</si>
  <si>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</si>
  <si>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</si>
  <si>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</si>
  <si>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</si>
  <si>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</si>
  <si>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</si>
  <si>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</si>
  <si>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</si>
  <si>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</si>
  <si>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</si>
  <si>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</si>
  <si>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</si>
  <si>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</si>
  <si>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</si>
  <si>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</si>
  <si>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</si>
  <si>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</si>
  <si>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</si>
  <si>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</si>
  <si>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</si>
  <si>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</si>
  <si>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</si>
  <si>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</si>
  <si>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</si>
  <si>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</si>
  <si>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</si>
  <si>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</si>
  <si>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</si>
  <si>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</si>
  <si>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</si>
  <si>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</si>
  <si>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</si>
  <si>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</si>
  <si>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</si>
  <si>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</si>
  <si>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</si>
  <si>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</si>
  <si>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</si>
  <si>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</si>
  <si>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</si>
  <si>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</si>
  <si>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</si>
  <si>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</si>
  <si>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</si>
  <si>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</si>
  <si>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</si>
  <si>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</si>
  <si>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</si>
  <si>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</si>
  <si>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</si>
  <si>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</si>
  <si>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</si>
  <si>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</si>
  <si>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</si>
  <si>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</si>
  <si>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</si>
  <si>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</si>
  <si>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</si>
  <si>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</si>
  <si>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</si>
  <si>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</si>
  <si>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</si>
  <si>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</si>
  <si>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</si>
  <si>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</si>
  <si>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</si>
  <si>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</si>
  <si>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</si>
  <si>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</si>
  <si>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</si>
  <si>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</si>
  <si>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</si>
  <si>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</si>
  <si>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</si>
  <si>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</si>
  <si>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</si>
  <si>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</si>
  <si>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</si>
  <si>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</si>
  <si>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</si>
  <si>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</si>
  <si>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</si>
  <si>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</si>
  <si>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</si>
  <si>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</si>
  <si>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</si>
  <si>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</si>
  <si>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</si>
  <si>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</si>
  <si>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</si>
  <si>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</si>
  <si>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</si>
  <si>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</si>
  <si>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</si>
  <si>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</si>
  <si>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</si>
  <si>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</si>
  <si>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</si>
  <si>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</si>
  <si>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</si>
  <si>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</si>
  <si>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</si>
  <si>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</si>
  <si>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</si>
  <si>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</si>
  <si>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</si>
  <si>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</si>
  <si>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</si>
  <si>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</si>
  <si>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</si>
  <si>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</si>
  <si>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</si>
  <si>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</si>
  <si>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</si>
  <si>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</si>
  <si>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</si>
  <si>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</si>
  <si>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</si>
  <si>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</si>
  <si>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</si>
  <si>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</si>
  <si>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</si>
  <si>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</si>
  <si>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</si>
  <si>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</si>
  <si>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</si>
  <si>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</si>
  <si>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</si>
  <si>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</si>
  <si>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</si>
  <si>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</si>
  <si>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</si>
  <si>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</si>
  <si>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</si>
  <si>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</si>
  <si>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</si>
  <si>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</si>
  <si>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</si>
  <si>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</si>
  <si>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</si>
  <si>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</si>
  <si>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</si>
  <si>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</si>
  <si>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</si>
  <si>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</si>
  <si>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</si>
  <si>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</si>
  <si>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</si>
  <si>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</si>
  <si>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</si>
  <si>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</si>
  <si>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</si>
  <si>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</si>
  <si>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</si>
  <si>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</si>
  <si>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</si>
  <si>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</si>
  <si>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</si>
  <si>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</si>
  <si>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</si>
  <si>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</si>
  <si>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</si>
  <si>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</si>
  <si>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</si>
  <si>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</si>
  <si>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</si>
  <si>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</si>
  <si>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</si>
  <si>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</si>
  <si>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</si>
  <si>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</si>
  <si>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</si>
  <si>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</si>
  <si>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</si>
  <si>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</si>
  <si>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</si>
  <si>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</si>
  <si>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</si>
  <si>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</si>
  <si>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</si>
  <si>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</si>
  <si>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</si>
  <si>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</si>
  <si>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</si>
  <si>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</si>
  <si>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</si>
  <si>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</si>
  <si>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</si>
  <si>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</si>
  <si>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</si>
  <si>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</si>
  <si>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</si>
  <si>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</si>
  <si>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</si>
  <si>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</si>
  <si>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</si>
  <si>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</si>
  <si>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</si>
  <si>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</si>
  <si>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</si>
  <si>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</si>
  <si>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</si>
  <si>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</si>
  <si>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</si>
  <si>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</si>
  <si>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</si>
  <si>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</si>
  <si>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</si>
  <si>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</si>
  <si>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</si>
  <si>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</si>
  <si>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</si>
  <si>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</si>
  <si>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</si>
  <si>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</si>
  <si>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</si>
  <si>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</si>
  <si>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</si>
  <si>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</si>
  <si>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</si>
  <si>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</si>
  <si>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</si>
  <si>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</si>
  <si>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</si>
  <si>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</si>
  <si>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</si>
  <si>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</si>
  <si>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</si>
  <si>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</si>
  <si>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</si>
  <si>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</si>
  <si>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</si>
  <si>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</si>
  <si>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</si>
  <si>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</si>
  <si>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</si>
  <si>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</si>
  <si>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</si>
  <si>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</si>
  <si>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</si>
  <si>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</si>
  <si>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</si>
  <si>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</si>
  <si>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</si>
  <si>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</si>
  <si>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</si>
  <si>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</si>
  <si>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</si>
  <si>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</si>
  <si>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</si>
  <si>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</si>
  <si>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</si>
  <si>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</si>
  <si>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</si>
  <si>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</si>
  <si>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</si>
  <si>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</si>
  <si>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</si>
  <si>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</si>
  <si>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</si>
  <si>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</si>
  <si>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</si>
  <si>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</si>
  <si>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</si>
  <si>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</si>
  <si>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</si>
  <si>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</si>
  <si>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</si>
  <si>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</si>
  <si>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</si>
  <si>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</si>
  <si>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</si>
  <si>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</si>
  <si>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</si>
  <si>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</si>
  <si>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</si>
  <si>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</si>
  <si>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</si>
  <si>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</si>
  <si>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</si>
  <si>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</si>
  <si>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</si>
  <si>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</si>
  <si>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</si>
  <si>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</si>
  <si>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</si>
  <si>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</si>
  <si>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</si>
  <si>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</si>
  <si>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</si>
  <si>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</si>
  <si>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</si>
  <si>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</si>
  <si>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</si>
  <si>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</si>
  <si>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</si>
  <si>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</si>
  <si>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</si>
  <si>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</si>
  <si>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</si>
  <si>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</si>
  <si>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</si>
  <si>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</si>
  <si>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</si>
  <si>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</si>
  <si>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</si>
  <si>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</si>
  <si>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</si>
  <si>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</si>
  <si>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</si>
  <si>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</si>
  <si>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</si>
  <si>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</si>
  <si>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</si>
  <si>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</si>
  <si>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</si>
  <si>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</si>
  <si>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</si>
  <si>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</si>
  <si>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</si>
  <si>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</si>
  <si>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</si>
  <si>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</si>
  <si>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</si>
  <si>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</si>
  <si>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</si>
  <si>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</si>
  <si>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</si>
  <si>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</si>
  <si>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</si>
  <si>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</si>
  <si>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</si>
  <si>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</si>
  <si>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</si>
  <si>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</si>
  <si>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</si>
  <si>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</si>
  <si>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</si>
  <si>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</si>
  <si>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</si>
  <si>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</si>
  <si>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</si>
  <si>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</si>
  <si>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</si>
  <si>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</si>
  <si>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</si>
  <si>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</si>
  <si>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</si>
  <si>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</si>
  <si>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</si>
  <si>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</si>
  <si>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</si>
  <si>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</si>
  <si>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</si>
  <si>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</si>
  <si>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</si>
  <si>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</si>
  <si>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</si>
  <si>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</si>
  <si>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</si>
  <si>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</si>
  <si>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</si>
  <si>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</si>
  <si>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</si>
  <si>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</si>
  <si>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</si>
  <si>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</si>
  <si>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</si>
  <si>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</si>
  <si>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</si>
  <si>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</si>
  <si>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</si>
  <si>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</si>
  <si>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</si>
  <si>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</si>
  <si>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</si>
  <si>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</si>
  <si>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</si>
  <si>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</si>
  <si>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</si>
  <si>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</si>
  <si>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</si>
  <si>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</si>
  <si>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</si>
  <si>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</si>
  <si>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</si>
  <si>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</si>
  <si>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</si>
  <si>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</si>
  <si>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</si>
  <si>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</si>
  <si>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</si>
  <si>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</si>
  <si>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</si>
  <si>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</si>
  <si>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</si>
  <si>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</si>
  <si>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</si>
  <si>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</si>
  <si>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</si>
  <si>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</si>
  <si>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</si>
  <si>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</si>
  <si>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</si>
  <si>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</si>
  <si>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</si>
  <si>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</si>
  <si>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</si>
  <si>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</si>
  <si>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</si>
  <si>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</si>
  <si>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</si>
  <si>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</si>
  <si>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</si>
  <si>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</si>
  <si>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</si>
  <si>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</si>
  <si>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</si>
  <si>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</si>
  <si>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</si>
  <si>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</si>
  <si>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</si>
  <si>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</si>
  <si>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</si>
  <si>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</si>
  <si>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</si>
  <si>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</si>
  <si>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</si>
  <si>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</si>
  <si>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</si>
  <si>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</si>
  <si>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</si>
  <si>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</si>
  <si>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</si>
  <si>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</si>
  <si>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</si>
  <si>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</si>
  <si>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</si>
  <si>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</si>
  <si>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</si>
  <si>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</si>
  <si>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</si>
  <si>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</si>
  <si>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</si>
  <si>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</si>
  <si>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</si>
  <si>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</si>
  <si>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</si>
  <si>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</si>
  <si>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</si>
  <si>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</si>
  <si>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</si>
  <si>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</si>
  <si>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</si>
  <si>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</si>
  <si>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</si>
  <si>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</si>
  <si>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</si>
  <si>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</si>
  <si>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</si>
  <si>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</si>
  <si>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</si>
  <si>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</si>
  <si>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</si>
  <si>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</si>
  <si>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</si>
  <si>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</si>
  <si>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</si>
  <si>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</si>
  <si>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</si>
  <si>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</si>
  <si>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</si>
  <si>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</si>
  <si>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</si>
  <si>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</si>
  <si>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</si>
  <si>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</si>
  <si>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</si>
  <si>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</si>
  <si>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</si>
  <si>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</si>
  <si>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</si>
  <si>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</si>
  <si>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</si>
  <si>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</si>
  <si>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</si>
  <si>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</si>
  <si>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</si>
  <si>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</si>
  <si>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</si>
  <si>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</si>
  <si>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</si>
  <si>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</si>
  <si>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</si>
  <si>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</si>
  <si>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</si>
  <si>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</si>
  <si>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</si>
  <si>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</si>
  <si>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</si>
  <si>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</si>
  <si>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</si>
  <si>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</si>
  <si>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</si>
  <si>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</si>
  <si>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</si>
  <si>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</si>
  <si>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</si>
  <si>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</si>
  <si>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</si>
  <si>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</si>
  <si>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</si>
  <si>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</si>
  <si>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</si>
  <si>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</si>
  <si>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</si>
  <si>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</si>
  <si>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</si>
  <si>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</si>
  <si>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</si>
  <si>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</si>
  <si>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</si>
  <si>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</si>
  <si>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</si>
  <si>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</si>
  <si>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</si>
  <si>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</si>
  <si>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</si>
  <si>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</si>
  <si>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</si>
  <si>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</si>
  <si>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</si>
  <si>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</si>
  <si>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</si>
  <si>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</si>
  <si>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</si>
  <si>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</si>
  <si>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</si>
  <si>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</si>
  <si>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</si>
  <si>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</si>
  <si>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</si>
  <si>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</si>
  <si>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</si>
  <si>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</si>
  <si>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</si>
  <si>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</si>
  <si>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</si>
  <si>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</si>
  <si>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</si>
  <si>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</si>
  <si>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</si>
  <si>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</si>
  <si>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</si>
  <si>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</si>
  <si>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</si>
  <si>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</si>
  <si>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</si>
  <si>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</si>
  <si>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</si>
  <si>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</si>
  <si>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</si>
  <si>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</si>
  <si>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</si>
  <si>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</si>
  <si>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</si>
  <si>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</si>
  <si>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</si>
  <si>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</si>
  <si>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</si>
  <si>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</si>
  <si>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</si>
  <si>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</si>
  <si>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</si>
  <si>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</si>
  <si>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</si>
  <si>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</si>
  <si>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</si>
  <si>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</si>
  <si>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</si>
  <si>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</si>
  <si>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</si>
  <si>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</si>
  <si>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</si>
  <si>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</si>
  <si>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</si>
  <si>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</si>
  <si>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</si>
  <si>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</si>
  <si>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</si>
  <si>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</si>
  <si>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</si>
  <si>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</si>
  <si>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</si>
  <si>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</si>
  <si>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</si>
  <si>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</si>
  <si>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</si>
  <si>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</si>
  <si>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</si>
  <si>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</si>
  <si>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</si>
  <si>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</si>
  <si>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</si>
  <si>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</si>
  <si>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</si>
  <si>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</si>
  <si>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</si>
  <si>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</si>
  <si>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</si>
  <si>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</si>
  <si>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</si>
  <si>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</si>
  <si>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</si>
  <si>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</si>
  <si>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</si>
  <si>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</si>
  <si>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</si>
  <si>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</si>
  <si>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</si>
  <si>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</si>
  <si>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</si>
  <si>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</si>
  <si>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</si>
  <si>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</si>
  <si>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</si>
  <si>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</si>
  <si>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</si>
  <si>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</si>
  <si>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</si>
  <si>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</si>
  <si>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</si>
  <si>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</si>
  <si>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</si>
  <si>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</si>
  <si>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</si>
  <si>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</si>
  <si>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</si>
  <si>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</si>
  <si>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</si>
  <si>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</si>
  <si>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</si>
  <si>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</si>
  <si>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</si>
  <si>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</si>
  <si>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</si>
  <si>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</si>
  <si>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</si>
  <si>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</si>
  <si>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</si>
  <si>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</si>
  <si>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</si>
  <si>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</si>
  <si>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</si>
  <si>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</si>
  <si>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</si>
  <si>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</si>
  <si>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</si>
  <si>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</si>
  <si>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</si>
  <si>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</si>
  <si>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</si>
  <si>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</si>
  <si>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</si>
  <si>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</si>
  <si>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</si>
  <si>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</si>
  <si>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</si>
  <si>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</si>
  <si>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</si>
  <si>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</si>
  <si>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</si>
  <si>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</si>
  <si>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</si>
  <si>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</si>
  <si>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</si>
  <si>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</si>
  <si>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</si>
  <si>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</si>
  <si>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</si>
  <si>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</si>
  <si>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</si>
  <si>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</si>
  <si>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</si>
  <si>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</si>
  <si>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</si>
  <si>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</si>
  <si>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</si>
  <si>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</si>
  <si>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</si>
  <si>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</si>
  <si>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</si>
  <si>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</si>
  <si>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</si>
  <si>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</si>
  <si>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</si>
  <si>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</si>
  <si>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</si>
  <si>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</si>
  <si>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</si>
  <si>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</si>
  <si>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</si>
  <si>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</si>
  <si>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</si>
  <si>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</si>
  <si>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</si>
  <si>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</si>
  <si>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</si>
  <si>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</si>
  <si>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</si>
  <si>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</si>
  <si>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</si>
  <si>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</si>
  <si>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</si>
  <si>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</si>
  <si>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</si>
  <si>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</si>
  <si>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</si>
  <si>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</si>
  <si>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</si>
  <si>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</si>
  <si>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</si>
  <si>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</si>
  <si>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</si>
  <si>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</si>
  <si>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</si>
  <si>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</si>
  <si>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</si>
  <si>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</si>
  <si>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</si>
  <si>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</si>
  <si>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</si>
  <si>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</si>
  <si>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</si>
  <si>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</si>
  <si>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</si>
  <si>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</si>
  <si>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</si>
  <si>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</si>
  <si>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</si>
  <si>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</si>
  <si>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</si>
  <si>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</si>
  <si>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</si>
  <si>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</si>
  <si>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</si>
  <si>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</si>
  <si>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</si>
  <si>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</si>
  <si>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</si>
  <si>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</si>
  <si>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</si>
  <si>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</si>
  <si>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</si>
  <si>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</si>
  <si>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</si>
  <si>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</si>
  <si>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</si>
  <si>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</si>
  <si>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</si>
  <si>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</si>
  <si>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</si>
  <si>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</si>
  <si>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</si>
  <si>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</si>
  <si>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</si>
  <si>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</si>
  <si>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</si>
  <si>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</si>
  <si>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</si>
  <si>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</si>
  <si>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</si>
  <si>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</si>
  <si>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</si>
  <si>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</si>
  <si>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</si>
  <si>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</si>
  <si>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</si>
  <si>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</si>
  <si>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</si>
  <si>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</si>
  <si>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</si>
  <si>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</si>
  <si>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</si>
  <si>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</si>
  <si>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</si>
  <si>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</si>
  <si>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</si>
  <si>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</si>
  <si>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</si>
  <si>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</si>
  <si>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</si>
  <si>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</si>
  <si>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</si>
  <si>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</si>
  <si>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</si>
  <si>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</si>
  <si>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</si>
  <si>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</si>
  <si>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</si>
  <si>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</si>
  <si>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</si>
  <si>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</si>
  <si>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</si>
  <si>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</si>
  <si>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</si>
  <si>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</si>
  <si>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</si>
  <si>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</si>
  <si>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</si>
  <si>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</si>
  <si>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</si>
  <si>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</si>
  <si>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</si>
  <si>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</si>
  <si>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</si>
  <si>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</si>
  <si>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</si>
  <si>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</si>
  <si>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</si>
  <si>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</si>
  <si>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</si>
  <si>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</si>
  <si>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</si>
  <si>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</si>
  <si>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</si>
  <si>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</si>
  <si>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</si>
  <si>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</si>
  <si>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</si>
  <si>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</si>
  <si>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</si>
  <si>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</si>
  <si>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</si>
  <si>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</si>
  <si>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</si>
  <si>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</si>
  <si>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</si>
  <si>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</si>
  <si>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</si>
  <si>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</si>
  <si>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</si>
  <si>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</si>
  <si>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</si>
  <si>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</si>
  <si>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</si>
  <si>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</si>
  <si>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</si>
  <si>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</si>
  <si>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</si>
  <si>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</si>
  <si>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</si>
  <si>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</si>
  <si>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</si>
  <si>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</si>
  <si>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</si>
  <si>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</si>
  <si>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</si>
  <si>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</si>
  <si>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</si>
  <si>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</si>
  <si>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</si>
  <si>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</si>
  <si>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</si>
  <si>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</si>
  <si>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</si>
  <si>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</si>
  <si>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</si>
  <si>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</si>
  <si>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</si>
  <si>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</si>
  <si>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</si>
  <si>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</si>
  <si>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</si>
  <si>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</si>
  <si>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</si>
  <si>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</si>
  <si>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</si>
  <si>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</si>
  <si>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</si>
  <si>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</si>
  <si>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</si>
  <si>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</si>
  <si>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</si>
  <si>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</si>
  <si>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</si>
  <si>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</si>
  <si>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</si>
  <si>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</si>
  <si>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</si>
  <si>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</si>
  <si>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</si>
  <si>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</si>
  <si>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</si>
  <si>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</si>
  <si>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</si>
  <si>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</si>
  <si>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</si>
  <si>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</si>
  <si>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</si>
  <si>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</si>
  <si>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</si>
  <si>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</si>
  <si>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</si>
  <si>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</si>
  <si>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</si>
  <si>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</si>
  <si>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</si>
  <si>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</si>
  <si>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</si>
  <si>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</si>
  <si>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</si>
  <si>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</si>
  <si>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</si>
  <si>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</si>
  <si>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</si>
  <si>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</si>
  <si>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</si>
  <si>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</si>
  <si>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</si>
  <si>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</si>
  <si>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</si>
  <si>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</si>
  <si>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</si>
  <si>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</si>
  <si>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</si>
  <si>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</si>
  <si>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</si>
  <si>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</si>
  <si>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</si>
  <si>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</si>
  <si>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</si>
  <si>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</si>
  <si>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</si>
  <si>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</si>
  <si>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</si>
  <si>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</si>
  <si>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</si>
  <si>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</si>
  <si>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</si>
  <si>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</si>
  <si>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</si>
  <si>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</si>
  <si>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</si>
  <si>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</si>
  <si>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</si>
  <si>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</si>
  <si>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</si>
  <si>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</si>
  <si>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</si>
  <si>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</si>
  <si>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</si>
  <si>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</si>
  <si>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</si>
  <si>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</si>
  <si>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</si>
  <si>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</si>
  <si>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</si>
  <si>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</si>
  <si>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</si>
  <si>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</si>
  <si>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</si>
  <si>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</si>
  <si>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</si>
  <si>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</si>
  <si>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</si>
  <si>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</si>
  <si>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</si>
  <si>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</si>
  <si>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</si>
  <si>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</si>
  <si>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</si>
  <si>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</si>
  <si>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</si>
  <si>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</si>
  <si>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</si>
  <si>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</si>
  <si>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</si>
  <si>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</si>
  <si>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</si>
  <si>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</si>
  <si>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</si>
  <si>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</si>
  <si>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</si>
  <si>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</si>
  <si>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</si>
  <si>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</si>
  <si>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</si>
  <si>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</si>
  <si>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</si>
  <si>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</si>
  <si>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</si>
  <si>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</si>
  <si>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</si>
  <si>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</si>
  <si>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</si>
  <si>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</si>
  <si>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</si>
  <si>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</si>
  <si>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</si>
  <si>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</si>
  <si>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</si>
  <si>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</si>
  <si>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</si>
  <si>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</si>
  <si>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</si>
  <si>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</si>
  <si>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</si>
  <si>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</si>
  <si>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</si>
  <si>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</si>
  <si>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</si>
  <si>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</si>
  <si>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</si>
  <si>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</si>
  <si>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</si>
  <si>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</si>
  <si>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</si>
  <si>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</si>
  <si>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</si>
  <si>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</si>
  <si>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</si>
  <si>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</si>
  <si>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</si>
  <si>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</si>
  <si>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</si>
  <si>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</si>
  <si>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</si>
  <si>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</si>
  <si>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</si>
  <si>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</si>
  <si>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</si>
  <si>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</si>
  <si>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</si>
  <si>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</si>
  <si>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</si>
  <si>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</si>
  <si>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</si>
  <si>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</si>
  <si>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</si>
  <si>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</si>
  <si>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</si>
  <si>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</si>
  <si>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</si>
  <si>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</si>
  <si>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</si>
  <si>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</si>
  <si>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</si>
  <si>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</si>
  <si>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</si>
  <si>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</si>
  <si>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</si>
  <si>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</si>
  <si>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</si>
  <si>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</si>
  <si>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</si>
  <si>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</si>
  <si>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</si>
  <si>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</si>
  <si>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</si>
  <si>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</si>
  <si>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</si>
  <si>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</si>
  <si>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</si>
  <si>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</si>
  <si>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</si>
  <si>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</si>
  <si>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</si>
  <si>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</si>
  <si>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</si>
  <si>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</si>
  <si>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</si>
  <si>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</si>
  <si>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</si>
  <si>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</si>
  <si>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</si>
  <si>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</si>
  <si>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</si>
  <si>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</si>
  <si>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</si>
  <si>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</si>
  <si>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</si>
  <si>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</si>
  <si>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</si>
  <si>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</si>
  <si>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</si>
  <si>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</si>
  <si>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</si>
  <si>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</si>
  <si>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</si>
  <si>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</si>
  <si>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</si>
  <si>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</si>
  <si>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</si>
  <si>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</si>
  <si>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</si>
  <si>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</si>
  <si>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</si>
  <si>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</si>
  <si>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</si>
  <si>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</si>
  <si>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</si>
  <si>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</si>
  <si>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</si>
  <si>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</si>
  <si>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</si>
  <si>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</si>
  <si>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</si>
  <si>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</si>
  <si>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</si>
  <si>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</si>
  <si>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</si>
  <si>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</si>
  <si>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</si>
  <si>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</si>
  <si>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</si>
  <si>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</si>
  <si>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</si>
  <si>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</si>
  <si>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</si>
  <si>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</si>
  <si>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</si>
  <si>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</si>
  <si>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</si>
  <si>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</si>
  <si>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</si>
  <si>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</si>
  <si>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</si>
  <si>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</si>
  <si>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</si>
  <si>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</si>
  <si>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</si>
  <si>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</si>
  <si>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</si>
  <si>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</si>
  <si>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</si>
  <si>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</si>
  <si>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</si>
  <si>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</si>
  <si>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</si>
  <si>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</si>
  <si>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</si>
  <si>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</si>
  <si>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</si>
  <si>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</si>
  <si>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</si>
  <si>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</si>
  <si>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</si>
  <si>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</si>
  <si>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</si>
  <si>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</si>
  <si>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</si>
  <si>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</si>
  <si>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</si>
  <si>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</si>
  <si>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</si>
  <si>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</si>
  <si>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</si>
  <si>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</si>
  <si>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</si>
  <si>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</si>
  <si>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</si>
  <si>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</si>
  <si>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</si>
  <si>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</si>
  <si>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</si>
  <si>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</si>
  <si>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</si>
  <si>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</si>
  <si>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</si>
  <si>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</si>
  <si>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</si>
  <si>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</si>
  <si>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</si>
  <si>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</si>
  <si>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</si>
  <si>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</si>
  <si>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</si>
  <si>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</si>
  <si>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</si>
  <si>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</si>
  <si>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</si>
  <si>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</si>
  <si>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</si>
  <si>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</si>
  <si>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</si>
  <si>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</si>
  <si>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</si>
  <si>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</si>
  <si>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</si>
  <si>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</si>
  <si>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</si>
  <si>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</si>
  <si>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</si>
  <si>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</si>
  <si>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</si>
  <si>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</si>
  <si>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</si>
  <si>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</si>
  <si>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</si>
  <si>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</si>
  <si>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</si>
  <si>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</si>
  <si>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</si>
  <si>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</si>
  <si>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</si>
  <si>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</si>
  <si>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</si>
  <si>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</si>
  <si>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</si>
  <si>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</si>
  <si>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</si>
  <si>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</si>
  <si>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</si>
  <si>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</si>
  <si>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</si>
  <si>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</si>
  <si>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</si>
  <si>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</si>
  <si>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</si>
  <si>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</si>
  <si>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</si>
  <si>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</si>
  <si>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</si>
  <si>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</si>
  <si>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</si>
  <si>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</si>
  <si>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</si>
  <si>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</si>
  <si>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</si>
  <si>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</si>
  <si>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</si>
  <si>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</si>
  <si>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</si>
  <si>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</si>
  <si>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</si>
  <si>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</si>
  <si>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</si>
  <si>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</si>
  <si>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</si>
  <si>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</si>
  <si>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</si>
  <si>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</si>
  <si>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</si>
  <si>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</si>
  <si>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</si>
  <si>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</si>
  <si>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</si>
  <si>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</si>
  <si>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</si>
  <si>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</si>
  <si>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</si>
  <si>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</si>
  <si>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</si>
  <si>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</si>
  <si>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</si>
  <si>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</si>
  <si>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</si>
  <si>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</si>
  <si>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</si>
  <si>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</si>
  <si>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</si>
  <si>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</si>
  <si>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</si>
  <si>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</si>
  <si>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</si>
  <si>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</si>
  <si>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</si>
  <si>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</si>
  <si>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</si>
  <si>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</si>
  <si>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</si>
  <si>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</si>
  <si>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</si>
  <si>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</si>
  <si>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</si>
  <si>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</si>
  <si>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</si>
  <si>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</si>
  <si>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</si>
  <si>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</si>
  <si>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</si>
  <si>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</si>
  <si>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</si>
  <si>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</si>
  <si>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</si>
  <si>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</si>
  <si>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</si>
  <si>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</si>
  <si>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</si>
  <si>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</si>
  <si>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</si>
  <si>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</si>
  <si>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</si>
  <si>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</si>
  <si>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</si>
  <si>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</si>
  <si>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</si>
  <si>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</si>
  <si>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</si>
  <si>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</si>
  <si>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</si>
  <si>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</si>
  <si>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</si>
  <si>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</si>
  <si>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</si>
  <si>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</si>
  <si>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</si>
  <si>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</si>
  <si>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</si>
  <si>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</si>
  <si>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</si>
  <si>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</si>
  <si>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</si>
  <si>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</si>
  <si>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</si>
  <si>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</si>
  <si>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</si>
  <si>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</si>
  <si>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</si>
  <si>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</si>
  <si>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</si>
  <si>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</si>
  <si>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</si>
  <si>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</si>
  <si>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</si>
  <si>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</si>
  <si>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</si>
  <si>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</si>
  <si>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</si>
  <si>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</si>
  <si>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</si>
  <si>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</si>
  <si>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</si>
  <si>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</si>
  <si>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</si>
  <si>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</si>
  <si>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</si>
  <si>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</si>
  <si>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</si>
  <si>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</si>
  <si>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</si>
  <si>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</si>
  <si>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</si>
  <si>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</si>
  <si>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</si>
  <si>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</si>
  <si>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</si>
  <si>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</si>
  <si>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</si>
  <si>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</si>
  <si>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</si>
  <si>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</si>
  <si>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</si>
  <si>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</si>
  <si>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</si>
  <si>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</si>
  <si>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</si>
  <si>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</si>
  <si>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</si>
  <si>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</si>
  <si>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</si>
  <si>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</si>
  <si>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</si>
  <si>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</si>
  <si>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</si>
  <si>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</si>
  <si>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</si>
  <si>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</si>
  <si>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</si>
  <si>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</si>
  <si>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</si>
  <si>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</si>
  <si>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</si>
  <si>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</si>
  <si>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</si>
  <si>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</si>
  <si>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</si>
  <si>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</si>
  <si>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Gave de Pau</t>
  </si>
  <si>
    <t xml:space="preserve">Le Gave de Pau en aval de Luz-Saint-Sauveur</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</si>
  <si>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</si>
  <si>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</si>
  <si>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</si>
  <si>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</si>
  <si>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</si>
  <si>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</si>
  <si>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</si>
  <si>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</si>
  <si>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</si>
  <si>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</si>
  <si>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</si>
  <si>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</si>
  <si>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</si>
  <si>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</si>
  <si>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</si>
  <si>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</si>
  <si>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</si>
  <si>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</si>
  <si>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</si>
  <si>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</si>
  <si>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</si>
  <si>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</si>
  <si>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</si>
  <si>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</si>
  <si>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</si>
  <si>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</si>
  <si>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</si>
  <si>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</si>
  <si>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</si>
  <si>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</si>
  <si>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</si>
  <si>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</si>
  <si>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</si>
  <si>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</si>
  <si>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</si>
  <si>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</si>
  <si>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</si>
  <si>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</si>
  <si>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</si>
  <si>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</si>
  <si>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</si>
  <si>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</si>
  <si>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</si>
  <si>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</si>
  <si>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</si>
  <si>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</si>
  <si>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</si>
  <si>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</si>
  <si>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</si>
  <si>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</si>
  <si>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</si>
  <si>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</si>
  <si>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</si>
  <si>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</si>
  <si>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</si>
  <si>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</si>
  <si>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</si>
  <si>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</si>
  <si>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</si>
  <si>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</si>
  <si>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</si>
  <si>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</si>
  <si>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</si>
  <si>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</si>
  <si>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</si>
  <si>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</si>
  <si>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</si>
  <si>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</si>
  <si>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</si>
  <si>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</si>
  <si>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</si>
  <si>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</si>
  <si>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</si>
  <si>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</si>
  <si>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</si>
  <si>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</si>
  <si>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</si>
  <si>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</si>
  <si>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</si>
  <si>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</si>
  <si>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</si>
  <si>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</si>
  <si>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</si>
  <si>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Anthony ANTOINE, Belinda VERDIER</t>
  </si>
  <si>
    <t xml:space="preserve">05218500</t>
  </si>
  <si>
    <t xml:space="preserve">rapide</t>
  </si>
  <si>
    <t xml:space="preserve">faible</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</si>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</sst>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12.5172413793103</v>
      </c>
      <c r="E9" s="229" t="n">
        <v>12</v>
      </c>
      <c r="F9" s="230" t="n">
        <v>12</v>
      </c>
      <c r="G9" s="231" t="n">
        <v>3</v>
      </c>
      <c r="H9" s="232" t="n">
        <v>8</v>
      </c>
      <c r="I9" s="230" t="n">
        <v>1</v>
      </c>
      <c r="J9" s="233" t="n">
        <v>11.8333333333333</v>
      </c>
      <c r="K9" s="234" t="n">
        <v>3.43592135468138</v>
      </c>
      <c r="L9" s="235" t="n">
        <v>6</v>
      </c>
      <c r="M9" s="236" t="n">
        <v>19</v>
      </c>
      <c r="N9" s="237" t="n">
        <v>1.83333333333333</v>
      </c>
      <c r="O9" s="234" t="n">
        <v>0.552770798392567</v>
      </c>
      <c r="P9" s="235" t="n">
        <v>1</v>
      </c>
      <c r="Q9" s="236" t="n">
        <v>3</v>
      </c>
      <c r="R9" s="238" t="n">
        <v>1.08000000566244</v>
      </c>
      <c r="S9" s="239" t="n">
        <v>0</v>
      </c>
      <c r="T9" s="235" t="n">
        <v>9</v>
      </c>
      <c r="U9" s="235" t="n">
        <v>3</v>
      </c>
      <c r="V9" s="235" t="n">
        <v>0</v>
      </c>
      <c r="W9" s="236" t="n">
        <v>0</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"i67"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42640</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12.5172413793103</v>
      </c>
      <c r="N5" s="324"/>
      <c r="O5" s="325" t="s">
        <v>309</v>
      </c>
      <c r="P5" s="326" t="n">
        <v>12.44</v>
      </c>
      <c r="Q5" s="327"/>
      <c r="R5" s="281"/>
      <c r="S5" s="281"/>
      <c r="T5" s="281"/>
      <c r="U5" s="281"/>
      <c r="V5" s="281"/>
      <c r="W5" s="295"/>
      <c r="X5" s="0"/>
      <c r="Y5" s="0"/>
      <c r="Z5" s="0"/>
    </row>
    <row r="6" customFormat="false" ht="13.5" hidden="false" customHeight="false" outlineLevel="0" collapsed="false">
      <c r="A6" s="314" t="s">
        <v>3389</v>
      </c>
      <c r="B6" s="328" t="s">
        <v>3458</v>
      </c>
      <c r="C6" s="329"/>
      <c r="D6" s="330"/>
      <c r="E6" s="330"/>
      <c r="F6" s="331"/>
      <c r="G6" s="319"/>
      <c r="H6" s="317"/>
      <c r="I6" s="281"/>
      <c r="J6" s="332"/>
      <c r="K6" s="333"/>
      <c r="L6" s="334" t="s">
        <v>3390</v>
      </c>
      <c r="M6" s="335" t="s">
        <v>3459</v>
      </c>
      <c r="N6" s="336"/>
      <c r="O6" s="337" t="n">
        <v>3</v>
      </c>
      <c r="P6" s="338" t="s">
        <v>3459</v>
      </c>
      <c r="Q6" s="339"/>
      <c r="R6" s="281"/>
      <c r="S6" s="281"/>
      <c r="T6" s="281"/>
      <c r="U6" s="281"/>
      <c r="V6" s="281"/>
      <c r="W6" s="295"/>
      <c r="X6" s="0"/>
      <c r="Y6" s="0"/>
      <c r="Z6" s="0"/>
    </row>
    <row r="7" customFormat="false" ht="12.75" hidden="false" customHeight="false" outlineLevel="0" collapsed="false">
      <c r="A7" s="340" t="s">
        <v>3391</v>
      </c>
      <c r="B7" s="341" t="n">
        <v>100</v>
      </c>
      <c r="C7" s="342"/>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11.8333333333333</v>
      </c>
      <c r="P8" s="356" t="n">
        <f aca="false">IF(ISERROR(AVERAGE(K23:K82)),"  ",AVERAGE(K23:K82))</f>
        <v>1.83333333333333</v>
      </c>
      <c r="Q8" s="357"/>
      <c r="R8" s="281"/>
      <c r="S8" s="281"/>
      <c r="T8" s="281"/>
      <c r="U8" s="281"/>
      <c r="V8" s="281"/>
      <c r="W8" s="295"/>
      <c r="X8" s="0"/>
      <c r="Y8" s="0"/>
      <c r="Z8" s="0"/>
    </row>
    <row r="9" customFormat="false" ht="12.75" hidden="false" customHeight="false" outlineLevel="0" collapsed="false">
      <c r="A9" s="314" t="s">
        <v>3397</v>
      </c>
      <c r="B9" s="358" t="n">
        <v>1</v>
      </c>
      <c r="C9" s="359"/>
      <c r="D9" s="360"/>
      <c r="E9" s="360"/>
      <c r="F9" s="361" t="n">
        <f aca="false">($B9*$B$7+$C9*$C$7)/100</f>
        <v>1</v>
      </c>
      <c r="G9" s="362"/>
      <c r="H9" s="317"/>
      <c r="I9" s="281"/>
      <c r="J9" s="363"/>
      <c r="K9" s="364"/>
      <c r="L9" s="347"/>
      <c r="M9" s="365"/>
      <c r="N9" s="355" t="s">
        <v>3398</v>
      </c>
      <c r="O9" s="356" t="n">
        <f aca="false">IF(ISERROR(STDEVP(J23:J82))," ",STDEVP(J23:J82))</f>
        <v>3.43592135468138</v>
      </c>
      <c r="P9" s="356" t="n">
        <f aca="false">IF(ISERROR(STDEVP(K23:K82)),"  ",STDEVP(K23:K82))</f>
        <v>0.552770798392567</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9</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3</v>
      </c>
      <c r="M13" s="381"/>
      <c r="N13" s="389" t="s">
        <v>3409</v>
      </c>
      <c r="O13" s="390" t="n">
        <f aca="false">COUNTIF(F23:F82,"&gt;0")</f>
        <v>12</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1</v>
      </c>
      <c r="N17" s="389" t="s">
        <v>3420</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1.08000000566244</v>
      </c>
      <c r="C20" s="433" t="n">
        <f aca="false">SUM(C23:C82)</f>
        <v>0</v>
      </c>
      <c r="D20" s="434"/>
      <c r="E20" s="435" t="s">
        <v>3422</v>
      </c>
      <c r="F20" s="436" t="n">
        <f aca="false">($B20*$B$7+$C20*$C$7)/100</f>
        <v>1.08000000566244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1.08000000566244</v>
      </c>
      <c r="C21" s="444" t="n">
        <f aca="false">C20*C7/100</f>
        <v>0</v>
      </c>
      <c r="D21" s="445" t="s">
        <v>3425</v>
      </c>
      <c r="E21" s="446"/>
      <c r="F21" s="447" t="n">
        <f aca="false">B21+C21</f>
        <v>1.08000000566244</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134</v>
      </c>
      <c r="B23" s="472" t="n">
        <v>0.00999999977648258</v>
      </c>
      <c r="C23" s="473" t="n">
        <v>0</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0.00999999977648258</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0.00999999977648258</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300</v>
      </c>
      <c r="B24" s="490" t="n">
        <v>0.00999999977648258</v>
      </c>
      <c r="C24" s="491" t="n">
        <v>0</v>
      </c>
      <c r="D24" s="492" t="str">
        <f aca="false">IF(ISERROR(VLOOKUP($A24,'liste reference'!$A$6:$B$1174,2,0)),IF(ISERROR(VLOOKUP($A24,'liste reference'!$B$6:$B$1174,1,0)),"",VLOOKUP($A24,'liste reference'!$B$6:$B$1174,1,0)),VLOOKUP($A24,'liste reference'!$A$6:$B$1174,2,0))</f>
        <v>Oedogonium sp.</v>
      </c>
      <c r="E24" s="493" t="e">
        <f aca="false">IF(D24="",0,VLOOKUP(D24,D$22:D23,1,0))</f>
        <v>#N/A</v>
      </c>
      <c r="F24" s="494" t="n">
        <f aca="false">IF(AND(OR(A24="",A24="!!!!!!"),B24="",C24=""),"",IF(OR(AND(B24="",C24=""),ISERROR(C24+B24)),"!!!",($B24*$B$7+$C24*$C$7)/100))</f>
        <v>0.00999999977648258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8"/>
      <c r="N24" s="498"/>
      <c r="O24" s="498"/>
      <c r="P24" s="499" t="s">
        <v>3445</v>
      </c>
      <c r="Q24" s="500" t="n">
        <f aca="false">IF(OR($A24="NEWCOD",$A24="!!!!!!"),IF(X24="","NoCod",X24),IF($A24="","",IF(ISERROR(VLOOKUP($A24,'liste reference'!$A$6:$H$1174,8,0)),IF(ISERROR(VLOOKUP($A24,'liste reference'!$B$6:$H$1174,7,0)),"",VLOOKUP($A24,'liste reference'!$B$6:$H$1174,7,0)),VLOOKUP($A24,'liste reference'!$A$6:$H$1174,8,0))))</f>
        <v>1134</v>
      </c>
      <c r="R24" s="484" t="n">
        <f aca="false">IF(ISTEXT(H24),"",(B24*$B$7/100)+(C24*$C$7/100))</f>
        <v>0.00999999977648258</v>
      </c>
      <c r="S24" s="485" t="n">
        <f aca="false">IF(OR(ISTEXT(H24),R24=0),"",IF(R24&lt;0.1,1,IF(R24&lt;1,2,IF(R24&lt;10,3,IF(R24&lt;50,4,IF(R24&gt;=50,5,""))))))</f>
        <v>1</v>
      </c>
      <c r="T24" s="485" t="n">
        <f aca="false">IF(ISERROR(S24*J24),0,S24*J24)</f>
        <v>6</v>
      </c>
      <c r="U24" s="485" t="n">
        <f aca="false">IF(ISERROR(S24*J24*K24),0,S24*J24*K24)</f>
        <v>12</v>
      </c>
      <c r="V24" s="501" t="n">
        <f aca="false">IF(ISERROR(S24*K24),0,S24*K24)</f>
        <v>2</v>
      </c>
      <c r="W24" s="502"/>
      <c r="X24" s="503"/>
      <c r="Y24" s="488" t="str">
        <f aca="false">IF(AND(ISNUMBER(F24),OR(A24="",A24="!!!!!!")),"!!!!!!",IF(A24="new.cod","NEWCOD",IF(AND((Z24=""),ISTEXT(A24),A24&lt;&gt;"!!!!!!"),A24,IF(Z24="","",INDEX('liste reference'!$A$6:$A$1174,Z24)))))</f>
        <v>OEDSPX</v>
      </c>
      <c r="Z24" s="470" t="n">
        <f aca="false">IF(ISERROR(MATCH(A24,'liste reference'!$A$6:$A$1174,0)),IF(ISERROR(MATCH(A24,'liste reference'!$B$6:$B$1174,0)),"",(MATCH(A24,'liste reference'!$B$6:$B$1174,0))),(MATCH(A24,'liste reference'!$A$6:$A$1174,0)))</f>
        <v>85</v>
      </c>
    </row>
    <row r="25" customFormat="false" ht="12.75" hidden="false" customHeight="false" outlineLevel="0" collapsed="false">
      <c r="A25" s="489" t="s">
        <v>343</v>
      </c>
      <c r="B25" s="490" t="n">
        <v>0.00999999977648258</v>
      </c>
      <c r="C25" s="491" t="n">
        <v>0</v>
      </c>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0.00999999977648258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0.00999999977648258</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385</v>
      </c>
      <c r="B26" s="490" t="n">
        <v>0.5</v>
      </c>
      <c r="C26" s="491" t="n">
        <v>0</v>
      </c>
      <c r="D26" s="492" t="str">
        <f aca="false">IF(ISERROR(VLOOKUP($A26,'liste reference'!$A$6:$B$1174,2,0)),IF(ISERROR(VLOOKUP($A26,'liste reference'!$B$6:$B$1174,1,0)),"",VLOOKUP($A26,'liste reference'!$B$6:$B$1174,1,0)),VLOOKUP($A26,'liste reference'!$A$6:$B$1174,2,0))</f>
        <v>Ulothrix sp.</v>
      </c>
      <c r="E26" s="493" t="e">
        <f aca="false">IF(D26="",0,VLOOKUP(D26,D$22:D25,1,0))</f>
        <v>#N/A</v>
      </c>
      <c r="F26" s="494" t="n">
        <f aca="false">IF(AND(OR(A26="",A26="!!!!!!"),B26="",C26=""),"",IF(OR(AND(B26="",C26=""),ISERROR(C26+B26)),"!!!",($B26*$B$7+$C26*$C$7)/100))</f>
        <v>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Ulothrix sp.</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1142</v>
      </c>
      <c r="R26" s="484" t="n">
        <f aca="false">IF(ISTEXT(H26),"",(B26*$B$7/100)+(C26*$C$7/100))</f>
        <v>0.5</v>
      </c>
      <c r="S26" s="485" t="n">
        <f aca="false">IF(OR(ISTEXT(H26),R26=0),"",IF(R26&lt;0.1,1,IF(R26&lt;1,2,IF(R26&lt;10,3,IF(R26&lt;50,4,IF(R26&gt;=50,5,""))))))</f>
        <v>2</v>
      </c>
      <c r="T26" s="485" t="n">
        <f aca="false">IF(ISERROR(S26*J26),0,S26*J26)</f>
        <v>20</v>
      </c>
      <c r="U26" s="485" t="n">
        <f aca="false">IF(ISERROR(S26*J26*K26),0,S26*J26*K26)</f>
        <v>20</v>
      </c>
      <c r="V26" s="501" t="n">
        <f aca="false">IF(ISERROR(S26*K26),0,S26*K26)</f>
        <v>2</v>
      </c>
      <c r="W26" s="502"/>
      <c r="X26" s="503"/>
      <c r="Y26" s="488" t="str">
        <f aca="false">IF(AND(ISNUMBER(F26),OR(A26="",A26="!!!!!!")),"!!!!!!",IF(A26="new.cod","NEWCOD",IF(AND((Z26=""),ISTEXT(A26),A26&lt;&gt;"!!!!!!"),A26,IF(Z26="","",INDEX('liste reference'!$A$6:$A$1174,Z26)))))</f>
        <v>ULOSPX</v>
      </c>
      <c r="Z26" s="470" t="n">
        <f aca="false">IF(ISERROR(MATCH(A26,'liste reference'!$A$6:$A$1174,0)),IF(ISERROR(MATCH(A26,'liste reference'!$B$6:$B$1174,0)),"",(MATCH(A26,'liste reference'!$B$6:$B$1174,0))),(MATCH(A26,'liste reference'!$A$6:$A$1174,0)))</f>
        <v>116</v>
      </c>
    </row>
    <row r="27" customFormat="false" ht="12.75" hidden="false" customHeight="false" outlineLevel="0" collapsed="false">
      <c r="A27" s="489" t="s">
        <v>710</v>
      </c>
      <c r="B27" s="490" t="n">
        <v>0.100000001490116</v>
      </c>
      <c r="C27" s="491" t="n">
        <v>0</v>
      </c>
      <c r="D27" s="492" t="str">
        <f aca="false">IF(ISERROR(VLOOKUP($A27,'liste reference'!$A$6:$B$1174,2,0)),IF(ISERROR(VLOOKUP($A27,'liste reference'!$B$6:$B$1174,1,0)),"",VLOOKUP($A27,'liste reference'!$B$6:$B$1174,1,0)),VLOOKUP($A27,'liste reference'!$A$6:$B$1174,2,0))</f>
        <v>Cinclidotus fontinaloides</v>
      </c>
      <c r="E27" s="493" t="e">
        <f aca="false">IF(D27="",0,VLOOKUP(D27,D$22:D26,1,0))</f>
        <v>#N/A</v>
      </c>
      <c r="F27" s="494" t="n">
        <f aca="false">IF(AND(OR(A27="",A27="!!!!!!"),B27="",C27=""),"",IF(OR(AND(B27="",C27=""),ISERROR(C27+B27)),"!!!",($B27*$B$7+$C27*$C$7)/100))</f>
        <v>0.100000001490116</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Cinclidotus fontinaloides</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1320</v>
      </c>
      <c r="R27" s="484" t="n">
        <f aca="false">IF(ISTEXT(H27),"",(B27*$B$7/100)+(C27*$C$7/100))</f>
        <v>0.100000001490116</v>
      </c>
      <c r="S27" s="485" t="n">
        <f aca="false">IF(OR(ISTEXT(H27),R27=0),"",IF(R27&lt;0.1,1,IF(R27&lt;1,2,IF(R27&lt;10,3,IF(R27&lt;50,4,IF(R27&gt;=50,5,""))))))</f>
        <v>2</v>
      </c>
      <c r="T27" s="485" t="n">
        <f aca="false">IF(ISERROR(S27*J27),0,S27*J27)</f>
        <v>24</v>
      </c>
      <c r="U27" s="485" t="n">
        <f aca="false">IF(ISERROR(S27*J27*K27),0,S27*J27*K27)</f>
        <v>48</v>
      </c>
      <c r="V27" s="501" t="n">
        <f aca="false">IF(ISERROR(S27*K27),0,S27*K27)</f>
        <v>4</v>
      </c>
      <c r="W27" s="502"/>
      <c r="X27" s="503"/>
      <c r="Y27" s="488" t="str">
        <f aca="false">IF(AND(ISNUMBER(F27),OR(A27="",A27="!!!!!!")),"!!!!!!",IF(A27="new.cod","NEWCOD",IF(AND((Z27=""),ISTEXT(A27),A27&lt;&gt;"!!!!!!"),A27,IF(Z27="","",INDEX('liste reference'!$A$6:$A$1174,Z27)))))</f>
        <v>CINFON</v>
      </c>
      <c r="Z27" s="470" t="n">
        <f aca="false">IF(ISERROR(MATCH(A27,'liste reference'!$A$6:$A$1174,0)),IF(ISERROR(MATCH(A27,'liste reference'!$B$6:$B$1174,0)),"",(MATCH(A27,'liste reference'!$B$6:$B$1174,0))),(MATCH(A27,'liste reference'!$A$6:$A$1174,0)))</f>
        <v>223</v>
      </c>
    </row>
    <row r="28" customFormat="false" ht="12.75" hidden="false" customHeight="false" outlineLevel="0" collapsed="false">
      <c r="A28" s="489" t="s">
        <v>151</v>
      </c>
      <c r="B28" s="490" t="n">
        <v>0.00999999977648258</v>
      </c>
      <c r="C28" s="491" t="n">
        <v>0</v>
      </c>
      <c r="D28" s="492" t="str">
        <f aca="false">IF(ISERROR(VLOOKUP($A28,'liste reference'!$A$6:$B$1174,2,0)),IF(ISERROR(VLOOKUP($A28,'liste reference'!$B$6:$B$1174,1,0)),"",VLOOKUP($A28,'liste reference'!$B$6:$B$1174,1,0)),VLOOKUP($A28,'liste reference'!$A$6:$B$1174,2,0))</f>
        <v>Diatoma sp.</v>
      </c>
      <c r="E28" s="493" t="e">
        <f aca="false">IF(D28="",0,VLOOKUP(D28,D$22:D27,1,0))</f>
        <v>#N/A</v>
      </c>
      <c r="F28" s="494" t="n">
        <f aca="false">IF(AND(OR(A28="",A28="!!!!!!"),B28="",C28=""),"",IF(OR(AND(B28="",C28=""),ISERROR(C28+B28)),"!!!",($B28*$B$7+$C28*$C$7)/100))</f>
        <v>0.00999999977648258</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Diatoma sp.</v>
      </c>
      <c r="M28" s="498"/>
      <c r="N28" s="498"/>
      <c r="O28" s="498"/>
      <c r="P28" s="499" t="s">
        <v>3445</v>
      </c>
      <c r="Q28" s="500" t="n">
        <f aca="false">IF(OR($A28="NEWCOD",$A28="!!!!!!"),IF(X28="","NoCod",X28),IF($A28="","",IF(ISERROR(VLOOKUP($A28,'liste reference'!$A$6:$H$1174,8,0)),IF(ISERROR(VLOOKUP($A28,'liste reference'!$B$6:$H$1174,7,0)),"",VLOOKUP($A28,'liste reference'!$B$6:$H$1174,7,0)),VLOOKUP($A28,'liste reference'!$A$6:$H$1174,8,0))))</f>
        <v>6627</v>
      </c>
      <c r="R28" s="484" t="n">
        <f aca="false">IF(ISTEXT(H28),"",(B28*$B$7/100)+(C28*$C$7/100))</f>
        <v>0.00999999977648258</v>
      </c>
      <c r="S28" s="485" t="n">
        <f aca="false">IF(OR(ISTEXT(H28),R28=0),"",IF(R28&lt;0.1,1,IF(R28&lt;1,2,IF(R28&lt;10,3,IF(R28&lt;50,4,IF(R28&gt;=50,5,""))))))</f>
        <v>1</v>
      </c>
      <c r="T28" s="485" t="n">
        <f aca="false">IF(ISERROR(S28*J28),0,S28*J28)</f>
        <v>12</v>
      </c>
      <c r="U28" s="485" t="n">
        <f aca="false">IF(ISERROR(S28*J28*K28),0,S28*J28*K28)</f>
        <v>24</v>
      </c>
      <c r="V28" s="501" t="n">
        <f aca="false">IF(ISERROR(S28*K28),0,S28*K28)</f>
        <v>2</v>
      </c>
      <c r="W28" s="502"/>
      <c r="X28" s="503"/>
      <c r="Y28" s="488" t="str">
        <f aca="false">IF(AND(ISNUMBER(F28),OR(A28="",A28="!!!!!!")),"!!!!!!",IF(A28="new.cod","NEWCOD",IF(AND((Z28=""),ISTEXT(A28),A28&lt;&gt;"!!!!!!"),A28,IF(Z28="","",INDEX('liste reference'!$A$6:$A$1174,Z28)))))</f>
        <v>DIASPX</v>
      </c>
      <c r="Z28" s="470" t="n">
        <f aca="false">IF(ISERROR(MATCH(A28,'liste reference'!$A$6:$A$1174,0)),IF(ISERROR(MATCH(A28,'liste reference'!$B$6:$B$1174,0)),"",(MATCH(A28,'liste reference'!$B$6:$B$1174,0))),(MATCH(A28,'liste reference'!$A$6:$A$1174,0)))</f>
        <v>40</v>
      </c>
    </row>
    <row r="29" customFormat="false" ht="12.75" hidden="false" customHeight="false" outlineLevel="0" collapsed="false">
      <c r="A29" s="489" t="s">
        <v>53</v>
      </c>
      <c r="B29" s="490" t="n">
        <v>0.00999999977648258</v>
      </c>
      <c r="C29" s="491" t="n">
        <v>0</v>
      </c>
      <c r="D29" s="492" t="str">
        <f aca="false">IF(ISERROR(VLOOKUP($A29,'liste reference'!$A$6:$B$1174,2,0)),IF(ISERROR(VLOOKUP($A29,'liste reference'!$B$6:$B$1174,1,0)),"",VLOOKUP($A29,'liste reference'!$B$6:$B$1174,1,0)),VLOOKUP($A29,'liste reference'!$A$6:$B$1174,2,0))</f>
        <v>Audouinella sp.</v>
      </c>
      <c r="E29" s="493" t="e">
        <f aca="false">IF(D29="",0,VLOOKUP(D29,D$22:D28,1,0))</f>
        <v>#N/A</v>
      </c>
      <c r="F29" s="494" t="n">
        <f aca="false">IF(AND(OR(A29="",A29="!!!!!!"),B29="",C29=""),"",IF(OR(AND(B29="",C29=""),ISERROR(C29+B29)),"!!!",($B29*$B$7+$C29*$C$7)/100))</f>
        <v>0.00999999977648258</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Audouinella sp.</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6076</v>
      </c>
      <c r="R29" s="484" t="n">
        <f aca="false">IF(ISTEXT(H29),"",(B29*$B$7/100)+(C29*$C$7/100))</f>
        <v>0.00999999977648258</v>
      </c>
      <c r="S29" s="485" t="n">
        <f aca="false">IF(OR(ISTEXT(H29),R29=0),"",IF(R29&lt;0.1,1,IF(R29&lt;1,2,IF(R29&lt;10,3,IF(R29&lt;50,4,IF(R29&gt;=50,5,""))))))</f>
        <v>1</v>
      </c>
      <c r="T29" s="485" t="n">
        <f aca="false">IF(ISERROR(S29*J29),0,S29*J29)</f>
        <v>13</v>
      </c>
      <c r="U29" s="485" t="n">
        <f aca="false">IF(ISERROR(S29*J29*K29),0,S29*J29*K29)</f>
        <v>26</v>
      </c>
      <c r="V29" s="501" t="n">
        <f aca="false">IF(ISERROR(S29*K29),0,S29*K29)</f>
        <v>2</v>
      </c>
      <c r="W29" s="502"/>
      <c r="X29" s="503"/>
      <c r="Y29" s="488" t="str">
        <f aca="false">IF(AND(ISNUMBER(F29),OR(A29="",A29="!!!!!!")),"!!!!!!",IF(A29="new.cod","NEWCOD",IF(AND((Z29=""),ISTEXT(A29),A29&lt;&gt;"!!!!!!"),A29,IF(Z29="","",INDEX('liste reference'!$A$6:$A$1174,Z29)))))</f>
        <v>AUDSPX</v>
      </c>
      <c r="Z29" s="470" t="n">
        <f aca="false">IF(ISERROR(MATCH(A29,'liste reference'!$A$6:$A$1174,0)),IF(ISERROR(MATCH(A29,'liste reference'!$B$6:$B$1174,0)),"",(MATCH(A29,'liste reference'!$B$6:$B$1174,0))),(MATCH(A29,'liste reference'!$A$6:$A$1174,0)))</f>
        <v>7</v>
      </c>
    </row>
    <row r="30" customFormat="false" ht="12.75" hidden="false" customHeight="false" outlineLevel="0" collapsed="false">
      <c r="A30" s="489" t="s">
        <v>712</v>
      </c>
      <c r="B30" s="490" t="n">
        <v>0.200000002980232</v>
      </c>
      <c r="C30" s="491" t="n">
        <v>0</v>
      </c>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0.200000002980232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3445</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0.200000002980232</v>
      </c>
      <c r="S30" s="485" t="n">
        <f aca="false">IF(OR(ISTEXT(H30),R30=0),"",IF(R30&lt;0.1,1,IF(R30&lt;1,2,IF(R30&lt;10,3,IF(R30&lt;50,4,IF(R30&gt;=50,5,""))))))</f>
        <v>2</v>
      </c>
      <c r="T30" s="485" t="n">
        <f aca="false">IF(ISERROR(S30*J30),0,S30*J30)</f>
        <v>26</v>
      </c>
      <c r="U30" s="485" t="n">
        <f aca="false">IF(ISERROR(S30*J30*K30),0,S30*J30*K30)</f>
        <v>52</v>
      </c>
      <c r="V30" s="501" t="n">
        <f aca="false">IF(ISERROR(S30*K30),0,S30*K30)</f>
        <v>4</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309</v>
      </c>
      <c r="B31" s="490" t="n">
        <v>0.200000002980232</v>
      </c>
      <c r="C31" s="491" t="n">
        <v>0</v>
      </c>
      <c r="D31" s="492" t="str">
        <f aca="false">IF(ISERROR(VLOOKUP($A31,'liste reference'!$A$6:$B$1174,2,0)),IF(ISERROR(VLOOKUP($A31,'liste reference'!$B$6:$B$1174,1,0)),"",VLOOKUP($A31,'liste reference'!$B$6:$B$1174,1,0)),VLOOKUP($A31,'liste reference'!$A$6:$B$1174,2,0))</f>
        <v>Phormidium sp.</v>
      </c>
      <c r="E31" s="493" t="e">
        <f aca="false">IF(D31="",0,VLOOKUP(D31,D$22:D30,1,0))</f>
        <v>#N/A</v>
      </c>
      <c r="F31" s="494" t="n">
        <f aca="false">IF(AND(OR(A31="",A31="!!!!!!"),B31="",C31=""),"",IF(OR(AND(B31="",C31=""),ISERROR(C31+B31)),"!!!",($B31*$B$7+$C31*$C$7)/100))</f>
        <v>0.200000002980232</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Phormidium sp.</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6414</v>
      </c>
      <c r="R31" s="484" t="n">
        <f aca="false">IF(ISTEXT(H31),"",(B31*$B$7/100)+(C31*$C$7/100))</f>
        <v>0.200000002980232</v>
      </c>
      <c r="S31" s="485" t="n">
        <f aca="false">IF(OR(ISTEXT(H31),R31=0),"",IF(R31&lt;0.1,1,IF(R31&lt;1,2,IF(R31&lt;10,3,IF(R31&lt;50,4,IF(R31&gt;=50,5,""))))))</f>
        <v>2</v>
      </c>
      <c r="T31" s="485" t="n">
        <f aca="false">IF(ISERROR(S31*J31),0,S31*J31)</f>
        <v>26</v>
      </c>
      <c r="U31" s="485" t="n">
        <f aca="false">IF(ISERROR(S31*J31*K31),0,S31*J31*K31)</f>
        <v>52</v>
      </c>
      <c r="V31" s="501" t="n">
        <f aca="false">IF(ISERROR(S31*K31),0,S31*K31)</f>
        <v>4</v>
      </c>
      <c r="W31" s="502"/>
      <c r="X31" s="503"/>
      <c r="Y31" s="488" t="str">
        <f aca="false">IF(AND(ISNUMBER(F31),OR(A31="",A31="!!!!!!")),"!!!!!!",IF(A31="new.cod","NEWCOD",IF(AND((Z31=""),ISTEXT(A31),A31&lt;&gt;"!!!!!!"),A31,IF(Z31="","",INDEX('liste reference'!$A$6:$A$1174,Z31)))))</f>
        <v>PHOSPX</v>
      </c>
      <c r="Z31" s="470" t="n">
        <f aca="false">IF(ISERROR(MATCH(A31,'liste reference'!$A$6:$A$1174,0)),IF(ISERROR(MATCH(A31,'liste reference'!$B$6:$B$1174,0)),"",(MATCH(A31,'liste reference'!$B$6:$B$1174,0))),(MATCH(A31,'liste reference'!$A$6:$A$1174,0)))</f>
        <v>88</v>
      </c>
    </row>
    <row r="32" customFormat="false" ht="12.75" hidden="false" customHeight="false" outlineLevel="0" collapsed="false">
      <c r="A32" s="489" t="s">
        <v>348</v>
      </c>
      <c r="B32" s="490" t="n">
        <v>0.00999999977648258</v>
      </c>
      <c r="C32" s="491" t="n">
        <v>0</v>
      </c>
      <c r="D32" s="492" t="str">
        <f aca="false">IF(ISERROR(VLOOKUP($A32,'liste reference'!$A$6:$B$1174,2,0)),IF(ISERROR(VLOOKUP($A32,'liste reference'!$B$6:$B$1174,1,0)),"",VLOOKUP($A32,'liste reference'!$B$6:$B$1174,1,0)),VLOOKUP($A32,'liste reference'!$A$6:$B$1174,2,0))</f>
        <v>Stigeoclonium sp. (excep. S. tenue)</v>
      </c>
      <c r="E32" s="493" t="e">
        <f aca="false">IF(D32="",0,VLOOKUP(D32,D$22:D31,1,0))</f>
        <v>#N/A</v>
      </c>
      <c r="F32" s="494" t="n">
        <f aca="false">IF(AND(OR(A32="",A32="!!!!!!"),B32="",C32=""),"",IF(OR(AND(B32="",C32=""),ISERROR(C32+B32)),"!!!",($B32*$B$7+$C32*$C$7)/100))</f>
        <v>0.00999999977648258</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Stigeoclonium sp. (excep. S. tenue)</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1119</v>
      </c>
      <c r="R32" s="484" t="n">
        <f aca="false">IF(ISTEXT(H32),"",(B32*$B$7/100)+(C32*$C$7/100))</f>
        <v>0.00999999977648258</v>
      </c>
      <c r="S32" s="485" t="n">
        <f aca="false">IF(OR(ISTEXT(H32),R32=0),"",IF(R32&lt;0.1,1,IF(R32&lt;1,2,IF(R32&lt;10,3,IF(R32&lt;50,4,IF(R32&gt;=50,5,""))))))</f>
        <v>1</v>
      </c>
      <c r="T32" s="485" t="n">
        <f aca="false">IF(ISERROR(S32*J32),0,S32*J32)</f>
        <v>13</v>
      </c>
      <c r="U32" s="485" t="n">
        <f aca="false">IF(ISERROR(S32*J32*K32),0,S32*J32*K32)</f>
        <v>26</v>
      </c>
      <c r="V32" s="501" t="n">
        <f aca="false">IF(ISERROR(S32*K32),0,S32*K32)</f>
        <v>2</v>
      </c>
      <c r="W32" s="502"/>
      <c r="X32" s="503"/>
      <c r="Y32" s="488" t="str">
        <f aca="false">IF(AND(ISNUMBER(F32),OR(A32="",A32="!!!!!!")),"!!!!!!",IF(A32="new.cod","NEWCOD",IF(AND((Z32=""),ISTEXT(A32),A32&lt;&gt;"!!!!!!"),A32,IF(Z32="","",INDEX('liste reference'!$A$6:$A$1174,Z32)))))</f>
        <v>STISPX</v>
      </c>
      <c r="Z32" s="470" t="n">
        <f aca="false">IF(ISERROR(MATCH(A32,'liste reference'!$A$6:$A$1174,0)),IF(ISERROR(MATCH(A32,'liste reference'!$B$6:$B$1174,0)),"",(MATCH(A32,'liste reference'!$B$6:$B$1174,0))),(MATCH(A32,'liste reference'!$A$6:$A$1174,0)))</f>
        <v>104</v>
      </c>
    </row>
    <row r="33" customFormat="false" ht="12.75" hidden="false" customHeight="false" outlineLevel="0" collapsed="false">
      <c r="A33" s="489" t="s">
        <v>217</v>
      </c>
      <c r="B33" s="490" t="n">
        <v>0.00999999977648258</v>
      </c>
      <c r="C33" s="491" t="n">
        <v>0</v>
      </c>
      <c r="D33" s="492" t="str">
        <f aca="false">IF(ISERROR(VLOOKUP($A33,'liste reference'!$A$6:$B$1174,2,0)),IF(ISERROR(VLOOKUP($A33,'liste reference'!$B$6:$B$1174,1,0)),"",VLOOKUP($A33,'liste reference'!$B$6:$B$1174,1,0)),VLOOKUP($A33,'liste reference'!$A$6:$B$1174,2,0))</f>
        <v>Lemanea sp.</v>
      </c>
      <c r="E33" s="493" t="e">
        <f aca="false">IF(D33="",0,VLOOKUP(D33,D$22:D32,1,0))</f>
        <v>#N/A</v>
      </c>
      <c r="F33" s="494" t="n">
        <f aca="false">IF(AND(OR(A33="",A33="!!!!!!"),B33="",C33=""),"",IF(OR(AND(B33="",C33=""),ISERROR(C33+B33)),"!!!",($B33*$B$7+$C33*$C$7)/100))</f>
        <v>0.00999999977648258</v>
      </c>
      <c r="G33" s="495" t="str">
        <f aca="false">IF(A33="","",IF(ISERROR(VLOOKUP($A33,'liste reference'!$A$6:$Q$1174,9,0)),IF(ISERROR(VLOOKUP($A33,'liste reference'!$B$6:$Q$1174,8,0)),"    -",VLOOKUP($A33,'liste reference'!$B$6:$Q$1174,8,0)),VLOOKUP($A33,'liste reference'!$A$6:$Q$1174,9,0)))</f>
        <v>ALG</v>
      </c>
      <c r="H33" s="496" t="n">
        <f aca="false">IF(A33="","x",IF(ISERROR(VLOOKUP($A33,'liste reference'!$A$6:$Q$1174,10,0)),IF(ISERROR(VLOOKUP($A33,'liste reference'!$B$6:$Q$1174,9,0)),"x",VLOOKUP($A33,'liste reference'!$B$6:$Q$1174,9,0)),VLOOKUP($A33,'liste reference'!$A$6:$Q$1174,10,0)))</f>
        <v>2</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Lemanea sp.</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1159</v>
      </c>
      <c r="R33" s="484" t="n">
        <f aca="false">IF(ISTEXT(H33),"",(B33*$B$7/100)+(C33*$C$7/100))</f>
        <v>0.00999999977648258</v>
      </c>
      <c r="S33" s="485" t="n">
        <f aca="false">IF(OR(ISTEXT(H33),R33=0),"",IF(R33&lt;0.1,1,IF(R33&lt;1,2,IF(R33&lt;10,3,IF(R33&lt;50,4,IF(R33&gt;=50,5,""))))))</f>
        <v>1</v>
      </c>
      <c r="T33" s="485" t="n">
        <f aca="false">IF(ISERROR(S33*J33),0,S33*J33)</f>
        <v>15</v>
      </c>
      <c r="U33" s="485" t="n">
        <f aca="false">IF(ISERROR(S33*J33*K33),0,S33*J33*K33)</f>
        <v>30</v>
      </c>
      <c r="V33" s="501" t="n">
        <f aca="false">IF(ISERROR(S33*K33),0,S33*K33)</f>
        <v>2</v>
      </c>
      <c r="W33" s="502"/>
      <c r="X33" s="503"/>
      <c r="Y33" s="488" t="str">
        <f aca="false">IF(AND(ISNUMBER(F33),OR(A33="",A33="!!!!!!")),"!!!!!!",IF(A33="new.cod","NEWCOD",IF(AND((Z33=""),ISTEXT(A33),A33&lt;&gt;"!!!!!!"),A33,IF(Z33="","",INDEX('liste reference'!$A$6:$A$1174,Z33)))))</f>
        <v>LEASPX</v>
      </c>
      <c r="Z33" s="470" t="n">
        <f aca="false">IF(ISERROR(MATCH(A33,'liste reference'!$A$6:$A$1174,0)),IF(ISERROR(MATCH(A33,'liste reference'!$B$6:$B$1174,0)),"",(MATCH(A33,'liste reference'!$B$6:$B$1174,0))),(MATCH(A33,'liste reference'!$A$6:$A$1174,0)))</f>
        <v>59</v>
      </c>
    </row>
    <row r="34" customFormat="false" ht="12.75" hidden="false" customHeight="false" outlineLevel="0" collapsed="false">
      <c r="A34" s="489" t="s">
        <v>936</v>
      </c>
      <c r="B34" s="490" t="n">
        <v>0.00999999977648258</v>
      </c>
      <c r="C34" s="491" t="n">
        <v>0</v>
      </c>
      <c r="D34" s="492" t="str">
        <f aca="false">IF(ISERROR(VLOOKUP($A34,'liste reference'!$A$6:$B$1174,2,0)),IF(ISERROR(VLOOKUP($A34,'liste reference'!$B$6:$B$1174,1,0)),"",VLOOKUP($A34,'liste reference'!$B$6:$B$1174,1,0)),VLOOKUP($A34,'liste reference'!$A$6:$B$1174,2,0))</f>
        <v>Hygrohypnum luridum</v>
      </c>
      <c r="E34" s="493" t="e">
        <f aca="false">IF(D34="",0,VLOOKUP(D34,D$22:D33,1,0))</f>
        <v>#N/A</v>
      </c>
      <c r="F34" s="494" t="n">
        <f aca="false">IF(AND(OR(A34="",A34="!!!!!!"),B34="",C34=""),"",IF(OR(AND(B34="",C34=""),ISERROR(C34+B34)),"!!!",($B34*$B$7+$C34*$C$7)/100))</f>
        <v>0.00999999977648258</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19</v>
      </c>
      <c r="K34" s="497" t="n">
        <f aca="false">IF(ISNUMBER($H34),IF(ISERROR(VLOOKUP($A34,'liste reference'!$A$6:$Q$1174,7,0)),IF(ISERROR(VLOOKUP($A34,'liste reference'!$B$6:$Q$1174,6,0)),"nu",VLOOKUP($A34,'liste reference'!$B$6:$Q$1174,6,0)),VLOOKUP($A34,'liste reference'!$A$6:$Q$1174,7,0)),"nu")</f>
        <v>3</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Hygrohypnum luridum</v>
      </c>
      <c r="M34" s="498"/>
      <c r="N34" s="498"/>
      <c r="O34" s="498"/>
      <c r="P34" s="499" t="s">
        <v>3445</v>
      </c>
      <c r="Q34" s="500" t="n">
        <f aca="false">IF(OR($A34="NEWCOD",$A34="!!!!!!"),IF(X34="","NoCod",X34),IF($A34="","",IF(ISERROR(VLOOKUP($A34,'liste reference'!$A$6:$H$1174,8,0)),IF(ISERROR(VLOOKUP($A34,'liste reference'!$B$6:$H$1174,7,0)),"",VLOOKUP($A34,'liste reference'!$B$6:$H$1174,7,0)),VLOOKUP($A34,'liste reference'!$A$6:$H$1174,8,0))))</f>
        <v>1240</v>
      </c>
      <c r="R34" s="484" t="n">
        <f aca="false">IF(ISTEXT(H34),"",(B34*$B$7/100)+(C34*$C$7/100))</f>
        <v>0.00999999977648258</v>
      </c>
      <c r="S34" s="485" t="n">
        <f aca="false">IF(OR(ISTEXT(H34),R34=0),"",IF(R34&lt;0.1,1,IF(R34&lt;1,2,IF(R34&lt;10,3,IF(R34&lt;50,4,IF(R34&gt;=50,5,""))))))</f>
        <v>1</v>
      </c>
      <c r="T34" s="485" t="n">
        <f aca="false">IF(ISERROR(S34*J34),0,S34*J34)</f>
        <v>19</v>
      </c>
      <c r="U34" s="485" t="n">
        <f aca="false">IF(ISERROR(S34*J34*K34),0,S34*J34*K34)</f>
        <v>57</v>
      </c>
      <c r="V34" s="501" t="n">
        <f aca="false">IF(ISERROR(S34*K34),0,S34*K34)</f>
        <v>3</v>
      </c>
      <c r="W34" s="502"/>
      <c r="X34" s="503"/>
      <c r="Y34" s="488" t="str">
        <f aca="false">IF(AND(ISNUMBER(F34),OR(A34="",A34="!!!!!!")),"!!!!!!",IF(A34="new.cod","NEWCOD",IF(AND((Z34=""),ISTEXT(A34),A34&lt;&gt;"!!!!!!"),A34,IF(Z34="","",INDEX('liste reference'!$A$6:$A$1174,Z34)))))</f>
        <v>HYGLUR</v>
      </c>
      <c r="Z34" s="470" t="n">
        <f aca="false">IF(ISERROR(MATCH(A34,'liste reference'!$A$6:$A$1174,0)),IF(ISERROR(MATCH(A34,'liste reference'!$B$6:$B$1174,0)),"",(MATCH(A34,'liste reference'!$B$6:$B$1174,0))),(MATCH(A34,'liste reference'!$A$6:$A$1174,0)))</f>
        <v>287</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fals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fals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fals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1.08000000566244</v>
      </c>
      <c r="G83" s="424"/>
      <c r="H83" s="424"/>
      <c r="I83" s="424"/>
      <c r="J83" s="424"/>
      <c r="K83" s="424"/>
      <c r="L83" s="424"/>
      <c r="M83" s="485"/>
      <c r="N83" s="485"/>
      <c r="O83" s="485"/>
      <c r="P83" s="485"/>
      <c r="Q83" s="485"/>
      <c r="R83" s="485"/>
      <c r="S83" s="485"/>
      <c r="T83" s="485"/>
      <c r="U83" s="485"/>
      <c r="V83" s="485" t="n">
        <f aca="false">SUM(V23:V82)</f>
        <v>29</v>
      </c>
      <c r="W83" s="485"/>
      <c r="X83" s="523"/>
      <c r="Y83" s="523"/>
      <c r="Z83" s="524"/>
    </row>
    <row r="84" customFormat="false" ht="12.75" hidden="true" customHeight="false" outlineLevel="0" collapsed="false">
      <c r="A84" s="518" t="str">
        <f aca="false">A3</f>
        <v>Gave de Pau</v>
      </c>
      <c r="B84" s="453" t="str">
        <f aca="false">C3</f>
        <v>Le Gave de Pau en aval de Luz-Saint-Sauveur</v>
      </c>
      <c r="C84" s="525" t="str">
        <f aca="false">A4</f>
        <v>(Date)</v>
      </c>
      <c r="D84" s="526" t="n">
        <f aca="false">IF(OR(ISERROR(SUM($U$23:$U$82)/SUM($V$23:$V$82)),F7&lt;&gt;100),-1,SUM($U$23:$U$82)/SUM($V$23:$V$82))</f>
        <v>12.5172413793103</v>
      </c>
      <c r="E84" s="527" t="n">
        <f aca="false">O13</f>
        <v>12</v>
      </c>
      <c r="F84" s="453" t="n">
        <f aca="false">O14</f>
        <v>12</v>
      </c>
      <c r="G84" s="453" t="n">
        <f aca="false">O15</f>
        <v>3</v>
      </c>
      <c r="H84" s="453" t="n">
        <f aca="false">O16</f>
        <v>8</v>
      </c>
      <c r="I84" s="453" t="n">
        <f aca="false">O17</f>
        <v>1</v>
      </c>
      <c r="J84" s="528" t="n">
        <f aca="false">O8</f>
        <v>11.8333333333333</v>
      </c>
      <c r="K84" s="529" t="n">
        <f aca="false">O9</f>
        <v>3.43592135468138</v>
      </c>
      <c r="L84" s="530" t="n">
        <f aca="false">O10</f>
        <v>6</v>
      </c>
      <c r="M84" s="530" t="n">
        <f aca="false">O11</f>
        <v>19</v>
      </c>
      <c r="N84" s="529" t="n">
        <f aca="false">P8</f>
        <v>1.83333333333333</v>
      </c>
      <c r="O84" s="529" t="n">
        <f aca="false">P9</f>
        <v>0.552770798392567</v>
      </c>
      <c r="P84" s="530" t="n">
        <f aca="false">P10</f>
        <v>1</v>
      </c>
      <c r="Q84" s="530" t="n">
        <f aca="false">P11</f>
        <v>3</v>
      </c>
      <c r="R84" s="530" t="n">
        <f aca="false">F21</f>
        <v>1.08000000566244</v>
      </c>
      <c r="S84" s="530" t="n">
        <f aca="false">L11</f>
        <v>0</v>
      </c>
      <c r="T84" s="530" t="n">
        <f aca="false">L12</f>
        <v>9</v>
      </c>
      <c r="U84" s="530" t="n">
        <f aca="false">L13</f>
        <v>3</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24</v>
      </c>
      <c r="U87" s="281"/>
      <c r="V87" s="281"/>
    </row>
    <row r="88" customFormat="false" ht="12.75" hidden="true" customHeight="false" outlineLevel="0" collapsed="false">
      <c r="C88" s="534"/>
      <c r="D88" s="534"/>
      <c r="E88" s="534"/>
      <c r="R88" s="281" t="s">
        <v>3448</v>
      </c>
      <c r="S88" s="281"/>
      <c r="T88" s="536" t="n">
        <f aca="false">VLOOKUP($T$91,($A$23:$U$82),21,0)</f>
        <v>48</v>
      </c>
      <c r="U88" s="281"/>
      <c r="V88" s="281" t="n">
        <f aca="false">COUNTIF(V23:V82,T89)</f>
        <v>3</v>
      </c>
    </row>
    <row r="89" customFormat="false" ht="12.75" hidden="true" customHeight="false" outlineLevel="0" collapsed="false">
      <c r="C89" s="534"/>
      <c r="D89" s="534"/>
      <c r="E89" s="534"/>
      <c r="R89" s="281" t="s">
        <v>3449</v>
      </c>
      <c r="S89" s="281"/>
      <c r="T89" s="536" t="n">
        <f aca="false">MAX($V$23:$V$82)</f>
        <v>4</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12.6</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CINFON</v>
      </c>
      <c r="U91" s="281" t="n">
        <f aca="false">IF(ISERROR(MATCH($T$93,'liste reference'!$A$6:$A$1174,0)),MATCH($T$93,'liste reference'!$B$6:$B$1174,0),(MATCH($T$93,'liste reference'!$A$6:$A$1174,0)))</f>
        <v>223</v>
      </c>
      <c r="V91" s="538"/>
    </row>
    <row r="92" customFormat="false" ht="12.75" hidden="true" customHeight="false" outlineLevel="0" collapsed="false">
      <c r="C92" s="534"/>
      <c r="D92" s="534"/>
      <c r="E92" s="534"/>
      <c r="R92" s="281" t="s">
        <v>3453</v>
      </c>
      <c r="S92" s="281"/>
      <c r="T92" s="281" t="n">
        <f aca="false">MATCH(T89,$V$23:$V$82,0)</f>
        <v>5</v>
      </c>
      <c r="U92" s="281"/>
    </row>
    <row r="93" customFormat="false" ht="12.75" hidden="true" customHeight="false" outlineLevel="0" collapsed="false">
      <c r="C93" s="534"/>
      <c r="D93" s="534"/>
      <c r="E93" s="534"/>
      <c r="R93" s="485" t="s">
        <v>3454</v>
      </c>
      <c r="S93" s="281"/>
      <c r="T93" s="485" t="str">
        <f aca="false">INDEX($A$23:$A$82,$T$92)</f>
        <v>CINFON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3460</v>
      </c>
      <c r="B1" s="541"/>
      <c r="C1" s="541"/>
      <c r="D1" s="541"/>
      <c r="E1" s="542" t="s">
        <v>3359</v>
      </c>
      <c r="F1" s="543" t="s">
        <v>3461</v>
      </c>
      <c r="G1" s="544"/>
      <c r="H1" s="544"/>
      <c r="I1" s="545"/>
      <c r="J1" s="545"/>
      <c r="K1" s="545"/>
      <c r="L1" s="546"/>
    </row>
    <row r="2" customFormat="false" ht="15" hidden="false" customHeight="false" outlineLevel="0" collapsed="false">
      <c r="A2" s="547" t="s">
        <v>3462</v>
      </c>
      <c r="B2" s="548"/>
      <c r="C2" s="549"/>
      <c r="D2" s="549"/>
      <c r="E2" s="550"/>
      <c r="F2" s="543" t="s">
        <v>3463</v>
      </c>
      <c r="G2" s="544"/>
      <c r="H2" s="544"/>
      <c r="I2" s="545"/>
      <c r="J2" s="545"/>
      <c r="K2" s="545"/>
      <c r="L2" s="546"/>
    </row>
    <row r="3" customFormat="false" ht="15.75" hidden="false" customHeight="false" outlineLevel="0" collapsed="false">
      <c r="A3" s="547" t="s">
        <v>3464</v>
      </c>
      <c r="B3" s="548"/>
      <c r="C3" s="549"/>
      <c r="D3" s="551" t="s">
        <v>3465</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3466</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3467</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3468</v>
      </c>
      <c r="G17" s="570"/>
      <c r="H17" s="571" t="s">
        <v>3469</v>
      </c>
      <c r="I17" s="570"/>
    </row>
    <row r="18" customFormat="false" ht="15" hidden="false" customHeight="false" outlineLevel="0" collapsed="false">
      <c r="A18" s="563"/>
      <c r="B18" s="566" t="s">
        <v>2963</v>
      </c>
      <c r="C18" s="567"/>
      <c r="D18" s="568"/>
      <c r="F18" s="572" t="s">
        <v>3470</v>
      </c>
      <c r="G18" s="573"/>
      <c r="H18" s="572" t="s">
        <v>3470</v>
      </c>
      <c r="I18" s="574"/>
    </row>
    <row r="19" customFormat="false" ht="15" hidden="false" customHeight="false" outlineLevel="0" collapsed="false">
      <c r="A19" s="563"/>
      <c r="B19" s="566" t="s">
        <v>2965</v>
      </c>
      <c r="C19" s="567"/>
      <c r="D19" s="568"/>
      <c r="F19" s="575" t="s">
        <v>3471</v>
      </c>
      <c r="G19" s="8"/>
      <c r="H19" s="575" t="s">
        <v>3471</v>
      </c>
      <c r="I19" s="576"/>
    </row>
    <row r="20" customFormat="false" ht="15" hidden="false" customHeight="false" outlineLevel="0" collapsed="false">
      <c r="A20" s="563"/>
      <c r="B20" s="566" t="s">
        <v>2969</v>
      </c>
      <c r="C20" s="567"/>
      <c r="D20" s="568"/>
      <c r="F20" s="575" t="s">
        <v>3472</v>
      </c>
      <c r="G20" s="8"/>
      <c r="H20" s="575" t="s">
        <v>3472</v>
      </c>
      <c r="I20" s="576"/>
    </row>
    <row r="21" customFormat="false" ht="15" hidden="false" customHeight="false" outlineLevel="0" collapsed="false">
      <c r="A21" s="563"/>
      <c r="B21" s="566" t="s">
        <v>2318</v>
      </c>
      <c r="C21" s="567"/>
      <c r="D21" s="568"/>
      <c r="F21" s="575" t="s">
        <v>3458</v>
      </c>
      <c r="G21" s="8"/>
      <c r="H21" s="575" t="s">
        <v>3458</v>
      </c>
      <c r="I21" s="576"/>
    </row>
    <row r="22" customFormat="false" ht="15" hidden="false" customHeight="false" outlineLevel="0" collapsed="false">
      <c r="A22" s="563"/>
      <c r="B22" s="566" t="s">
        <v>2971</v>
      </c>
      <c r="C22" s="567"/>
      <c r="D22" s="568"/>
      <c r="F22" s="575" t="s">
        <v>3473</v>
      </c>
      <c r="G22" s="8"/>
      <c r="H22" s="575" t="s">
        <v>3473</v>
      </c>
      <c r="I22" s="576"/>
    </row>
    <row r="23" customFormat="false" ht="15" hidden="false" customHeight="false" outlineLevel="0" collapsed="false">
      <c r="A23" s="563"/>
      <c r="B23" s="566" t="s">
        <v>1933</v>
      </c>
      <c r="C23" s="567"/>
      <c r="D23" s="568"/>
      <c r="F23" s="575" t="s">
        <v>3474</v>
      </c>
      <c r="G23" s="8"/>
      <c r="H23" s="575" t="s">
        <v>3474</v>
      </c>
      <c r="I23" s="576"/>
    </row>
    <row r="24" customFormat="false" ht="15" hidden="false" customHeight="false" outlineLevel="0" collapsed="false">
      <c r="A24" s="563"/>
      <c r="B24" s="566" t="s">
        <v>2973</v>
      </c>
      <c r="C24" s="567"/>
      <c r="D24" s="568"/>
      <c r="F24" s="575" t="s">
        <v>3475</v>
      </c>
      <c r="G24" s="8"/>
      <c r="H24" s="575" t="s">
        <v>3475</v>
      </c>
      <c r="I24" s="576"/>
    </row>
    <row r="25" customFormat="false" ht="15" hidden="false" customHeight="false" outlineLevel="0" collapsed="false">
      <c r="A25" s="563"/>
      <c r="B25" s="566" t="s">
        <v>1354</v>
      </c>
      <c r="C25" s="567"/>
      <c r="D25" s="568"/>
      <c r="F25" s="575" t="s">
        <v>3476</v>
      </c>
      <c r="G25" s="8"/>
      <c r="H25" s="575" t="s">
        <v>3476</v>
      </c>
      <c r="I25" s="576"/>
    </row>
    <row r="26" customFormat="false" ht="15" hidden="false" customHeight="false" outlineLevel="0" collapsed="false">
      <c r="A26" s="563"/>
      <c r="B26" s="566" t="s">
        <v>1357</v>
      </c>
      <c r="C26" s="567"/>
      <c r="D26" s="568"/>
      <c r="F26" s="575" t="s">
        <v>3477</v>
      </c>
      <c r="G26" s="8"/>
      <c r="H26" s="575" t="s">
        <v>3477</v>
      </c>
      <c r="I26" s="576"/>
    </row>
    <row r="27" customFormat="false" ht="15" hidden="false" customHeight="false" outlineLevel="0" collapsed="false">
      <c r="A27" s="563"/>
      <c r="B27" s="566" t="s">
        <v>1329</v>
      </c>
      <c r="C27" s="567"/>
      <c r="D27" s="568"/>
      <c r="F27" s="577" t="s">
        <v>3478</v>
      </c>
      <c r="G27" s="578"/>
      <c r="H27" s="577" t="s">
        <v>3478</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3479</v>
      </c>
    </row>
    <row r="31" customFormat="false" ht="15" hidden="false" customHeight="false" outlineLevel="0" collapsed="false">
      <c r="A31" s="563"/>
      <c r="B31" s="566" t="s">
        <v>2323</v>
      </c>
      <c r="C31" s="567"/>
      <c r="D31" s="568"/>
      <c r="F31" s="581" t="s">
        <v>3480</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3481</v>
      </c>
    </row>
    <row r="37" customFormat="false" ht="15" hidden="false" customHeight="false" outlineLevel="0" collapsed="false">
      <c r="A37" s="563"/>
      <c r="B37" s="566" t="s">
        <v>2979</v>
      </c>
      <c r="C37" s="567"/>
      <c r="D37" s="568"/>
      <c r="F37" s="581" t="s">
        <v>3482</v>
      </c>
    </row>
    <row r="38" customFormat="false" ht="15" hidden="false" customHeight="false" outlineLevel="0" collapsed="false">
      <c r="A38" s="563"/>
      <c r="B38" s="566" t="s">
        <v>2981</v>
      </c>
      <c r="C38" s="567"/>
      <c r="D38" s="568"/>
      <c r="F38" s="583" t="s">
        <v>3483</v>
      </c>
    </row>
    <row r="39" customFormat="false" ht="15" hidden="false" customHeight="false" outlineLevel="0" collapsed="false">
      <c r="A39" s="563"/>
      <c r="B39" s="566" t="s">
        <v>2983</v>
      </c>
      <c r="C39" s="567"/>
      <c r="D39" s="568"/>
      <c r="F39" s="583" t="s">
        <v>3484</v>
      </c>
    </row>
    <row r="40" customFormat="false" ht="15" hidden="false" customHeight="false" outlineLevel="0" collapsed="false">
      <c r="A40" s="563"/>
      <c r="B40" s="566" t="s">
        <v>624</v>
      </c>
      <c r="C40" s="567"/>
      <c r="D40" s="568"/>
      <c r="F40" s="583" t="s">
        <v>3485</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3486</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3487</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3488</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3489</v>
      </c>
    </row>
    <row r="1188" customFormat="false" ht="15" hidden="false" customHeight="false" outlineLevel="0" collapsed="false">
      <c r="A1188" s="563"/>
      <c r="B1188" s="566" t="s">
        <v>3490</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3491</v>
      </c>
    </row>
    <row r="1229" customFormat="false" ht="15" hidden="false" customHeight="false" outlineLevel="0" collapsed="false">
      <c r="A1229" s="563"/>
      <c r="B1229" s="566" t="s">
        <v>3492</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Elodie Petit</cp:lastModifiedBy>
  <cp:lastPrinted>2017-02-06T11:27:05Z</cp:lastPrinted>
  <dcterms:modified xsi:type="dcterms:W3CDTF">2017-02-06T11:27:50Z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