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visible" r:id="rId5"/>
    <sheet name="notice" sheetId="4" state="hidden" r:id="rId6"/>
    <sheet name="note V4" sheetId="5" state="hidden" r:id="rId7"/>
    <sheet name="modele" sheetId="6" state="hidden" r:id="rId8"/>
    <sheet name="station" sheetId="7" state="visible" r:id="rId9"/>
    <sheet name="liste codes réf" sheetId="8" state="hidden" r:id="rId10"/>
  </sheets>
  <definedNames>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localSheetId="6" name="_xlnm.Print_Area" vbProcedure="false">station!$A$1:$Q$82</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station!$A$1:$Q$82</definedName>
    <definedName function="false" hidden="false" localSheetId="6" name="_xlnm__FilterDatabase" vbProcedure="false">station!$A$1:$C$1415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<sst xmlns="http://schemas.openxmlformats.org/spreadsheetml/2006/main" count="8859" uniqueCount="3495">
  <si>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</si>
  <si>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</si>
  <si>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</si>
  <si>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</si>
  <si>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</si>
  <si>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</si>
  <si>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</si>
  <si>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</si>
  <si>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</si>
  <si>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</si>
  <si>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</si>
  <si>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</si>
  <si>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</si>
  <si>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</si>
  <si>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</si>
  <si>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</si>
  <si>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</si>
  <si>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</si>
  <si>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</si>
  <si>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</si>
  <si>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</si>
  <si>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</si>
  <si>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</si>
  <si>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</si>
  <si>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</si>
  <si>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</si>
  <si>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</si>
  <si>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</si>
  <si>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</si>
  <si>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</si>
  <si>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</si>
  <si>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</si>
  <si>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</si>
  <si>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</si>
  <si>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</si>
  <si>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</si>
  <si>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</si>
  <si>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</si>
  <si>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</si>
  <si>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</si>
  <si>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</si>
  <si>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</si>
  <si>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</si>
  <si>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</si>
  <si>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</si>
  <si>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</si>
  <si>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</si>
  <si>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</si>
  <si>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</si>
  <si>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</si>
  <si>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</si>
  <si>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</si>
  <si>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</si>
  <si>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</si>
  <si>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</si>
  <si>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</si>
  <si>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</si>
  <si>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</si>
  <si>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</si>
  <si>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</si>
  <si>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</si>
  <si>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</si>
  <si>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</si>
  <si>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</si>
  <si>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</si>
  <si>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</si>
  <si>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</si>
  <si>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</si>
  <si>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</si>
  <si>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</si>
  <si>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</si>
  <si>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</si>
  <si>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</si>
  <si>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</si>
  <si>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</si>
  <si>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</si>
  <si>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</si>
  <si>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</si>
  <si>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</si>
  <si>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</si>
  <si>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</si>
  <si>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</si>
  <si>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</si>
  <si>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</si>
  <si>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</si>
  <si>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</si>
  <si>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</si>
  <si>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</si>
  <si>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</si>
  <si>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</si>
  <si>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</si>
  <si>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</si>
  <si>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</si>
  <si>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</si>
  <si>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</si>
  <si>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</si>
  <si>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</si>
  <si>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</si>
  <si>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</si>
  <si>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</si>
  <si>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</si>
  <si>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</si>
  <si>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</si>
  <si>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</si>
  <si>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</si>
  <si>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</si>
  <si>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</si>
  <si>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</si>
  <si>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</si>
  <si>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</si>
  <si>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</si>
  <si>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</si>
  <si>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</si>
  <si>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</si>
  <si>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</si>
  <si>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</si>
  <si>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</si>
  <si>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</si>
  <si>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</si>
  <si>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</si>
  <si>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</si>
  <si>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</si>
  <si>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</si>
  <si>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</si>
  <si>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</si>
  <si>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</si>
  <si>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</si>
  <si>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</si>
  <si>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</si>
  <si>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</si>
  <si>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</si>
  <si>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</si>
  <si>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</si>
  <si>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</si>
  <si>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</si>
  <si>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</si>
  <si>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</si>
  <si>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</si>
  <si>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</si>
  <si>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</si>
  <si>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</si>
  <si>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</si>
  <si>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</si>
  <si>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</si>
  <si>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</si>
  <si>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</si>
  <si>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</si>
  <si>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</si>
  <si>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</si>
  <si>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</si>
  <si>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</si>
  <si>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</si>
  <si>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</si>
  <si>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</si>
  <si>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</si>
  <si>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</si>
  <si>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</si>
  <si>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</si>
  <si>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</si>
  <si>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</si>
  <si>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</si>
  <si>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</si>
  <si>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</si>
  <si>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</si>
  <si>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</si>
  <si>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</si>
  <si>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</si>
  <si>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</si>
  <si>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</si>
  <si>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</si>
  <si>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</si>
  <si>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</si>
  <si>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</si>
  <si>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</si>
  <si>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</si>
  <si>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</si>
  <si>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</si>
  <si>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</si>
  <si>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</si>
  <si>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</si>
  <si>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</si>
  <si>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</si>
  <si>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</si>
  <si>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</si>
  <si>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</si>
  <si>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</si>
  <si>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</si>
  <si>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</si>
  <si>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</si>
  <si>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</si>
  <si>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</si>
  <si>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</si>
  <si>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</si>
  <si>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</si>
  <si>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</si>
  <si>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</si>
  <si>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</si>
  <si>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</si>
  <si>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</si>
  <si>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</si>
  <si>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</si>
  <si>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</si>
  <si>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</si>
  <si>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</si>
  <si>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</si>
  <si>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</si>
  <si>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</si>
  <si>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</si>
  <si>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</si>
  <si>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</si>
  <si>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</si>
  <si>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</si>
  <si>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</si>
  <si>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</si>
  <si>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</si>
  <si>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</si>
  <si>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</si>
  <si>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</si>
  <si>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</si>
  <si>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</si>
  <si>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</si>
  <si>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</si>
  <si>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</si>
  <si>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</si>
  <si>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</si>
  <si>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</si>
  <si>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</si>
  <si>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</si>
  <si>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</si>
  <si>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</si>
  <si>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</si>
  <si>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</si>
  <si>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</si>
  <si>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</si>
  <si>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</si>
  <si>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</si>
  <si>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</si>
  <si>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</si>
  <si>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</si>
  <si>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</si>
  <si>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</si>
  <si>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</si>
  <si>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</si>
  <si>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</si>
  <si>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</si>
  <si>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</si>
  <si>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</si>
  <si>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</si>
  <si>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</si>
  <si>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</si>
  <si>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</si>
  <si>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</si>
  <si>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</si>
  <si>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</si>
  <si>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</si>
  <si>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</si>
  <si>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</si>
  <si>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</si>
  <si>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</si>
  <si>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</si>
  <si>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</si>
  <si>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</si>
  <si>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</si>
  <si>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</si>
  <si>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</si>
  <si>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</si>
  <si>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</si>
  <si>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</si>
  <si>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</si>
  <si>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</si>
  <si>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</si>
  <si>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</si>
  <si>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</si>
  <si>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</si>
  <si>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</si>
  <si>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</si>
  <si>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</si>
  <si>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</si>
  <si>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</si>
  <si>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</si>
  <si>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</si>
  <si>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</si>
  <si>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</si>
  <si>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</si>
  <si>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</si>
  <si>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</si>
  <si>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</si>
  <si>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</si>
  <si>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</si>
  <si>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</si>
  <si>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</si>
  <si>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</si>
  <si>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</si>
  <si>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</si>
  <si>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</si>
  <si>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</si>
  <si>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</si>
  <si>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</si>
  <si>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</si>
  <si>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</si>
  <si>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</si>
  <si>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</si>
  <si>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</si>
  <si>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</si>
  <si>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</si>
  <si>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</si>
  <si>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</si>
  <si>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</si>
  <si>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</si>
  <si>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</si>
  <si>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</si>
  <si>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</si>
  <si>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</si>
  <si>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</si>
  <si>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</si>
  <si>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</si>
  <si>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</si>
  <si>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</si>
  <si>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</si>
  <si>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</si>
  <si>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</si>
  <si>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</si>
  <si>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</si>
  <si>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</si>
  <si>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</si>
  <si>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</si>
  <si>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</si>
  <si>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</si>
  <si>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</si>
  <si>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</si>
  <si>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</si>
  <si>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</si>
  <si>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</si>
  <si>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</si>
  <si>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</si>
  <si>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</si>
  <si>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</si>
  <si>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</si>
  <si>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</si>
  <si>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</si>
  <si>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</si>
  <si>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</si>
  <si>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</si>
  <si>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</si>
  <si>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</si>
  <si>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</si>
  <si>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</si>
  <si>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</si>
  <si>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</si>
  <si>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</si>
  <si>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</si>
  <si>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</si>
  <si>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</si>
  <si>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</si>
  <si>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</si>
  <si>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</si>
  <si>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</si>
  <si>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</si>
  <si>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</si>
  <si>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</si>
  <si>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</si>
  <si>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</si>
  <si>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</si>
  <si>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</si>
  <si>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</si>
  <si>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</si>
  <si>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</si>
  <si>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</si>
  <si>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</si>
  <si>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</si>
  <si>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</si>
  <si>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</si>
  <si>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</si>
  <si>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</si>
  <si>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</si>
  <si>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</si>
  <si>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</si>
  <si>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</si>
  <si>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</si>
  <si>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</si>
  <si>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</si>
  <si>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</si>
  <si>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</si>
  <si>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</si>
  <si>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</si>
  <si>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</si>
  <si>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</si>
  <si>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</si>
  <si>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</si>
  <si>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</si>
  <si>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</si>
  <si>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</si>
  <si>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</si>
  <si>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</si>
  <si>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</si>
  <si>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</si>
  <si>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</si>
  <si>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</si>
  <si>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</si>
  <si>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</si>
  <si>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</si>
  <si>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</si>
  <si>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</si>
  <si>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</si>
  <si>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</si>
  <si>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</si>
  <si>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</si>
  <si>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</si>
  <si>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</si>
  <si>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</si>
  <si>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</si>
  <si>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</si>
  <si>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</si>
  <si>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</si>
  <si>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</si>
  <si>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</si>
  <si>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</si>
  <si>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</si>
  <si>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</si>
  <si>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</si>
  <si>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</si>
  <si>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</si>
  <si>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</si>
  <si>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</si>
  <si>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</si>
  <si>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</si>
  <si>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</si>
  <si>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</si>
  <si>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</si>
  <si>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</si>
  <si>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</si>
  <si>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</si>
  <si>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</si>
  <si>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</si>
  <si>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</si>
  <si>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</si>
  <si>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</si>
  <si>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</si>
  <si>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</si>
  <si>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</si>
  <si>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</si>
  <si>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</si>
  <si>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</si>
  <si>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</si>
  <si>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</si>
  <si>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</si>
  <si>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</si>
  <si>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</si>
  <si>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</si>
  <si>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</si>
  <si>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</si>
  <si>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</si>
  <si>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</si>
  <si>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</si>
  <si>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</si>
  <si>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</si>
  <si>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</si>
  <si>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</si>
  <si>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</si>
  <si>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</si>
  <si>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</si>
  <si>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</si>
  <si>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</si>
  <si>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</si>
  <si>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</si>
  <si>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</si>
  <si>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</si>
  <si>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</si>
  <si>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</si>
  <si>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</si>
  <si>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</si>
  <si>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</si>
  <si>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</si>
  <si>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</si>
  <si>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</si>
  <si>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</si>
  <si>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</si>
  <si>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</si>
  <si>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</si>
  <si>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</si>
  <si>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</si>
  <si>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</si>
  <si>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</si>
  <si>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</si>
  <si>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</si>
  <si>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</si>
  <si>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</si>
  <si>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</si>
  <si>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</si>
  <si>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</si>
  <si>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</si>
  <si>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</si>
  <si>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</si>
  <si>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</si>
  <si>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</si>
  <si>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</si>
  <si>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</si>
  <si>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</si>
  <si>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</si>
  <si>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</si>
  <si>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</si>
  <si>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</si>
  <si>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</si>
  <si>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</si>
  <si>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</si>
  <si>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</si>
  <si>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</si>
  <si>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</si>
  <si>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</si>
  <si>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</si>
  <si>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</si>
  <si>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</si>
  <si>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</si>
  <si>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</si>
  <si>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</si>
  <si>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</si>
  <si>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</si>
  <si>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</si>
  <si>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</si>
  <si>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</si>
  <si>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</si>
  <si>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</si>
  <si>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</si>
  <si>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</si>
  <si>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</si>
  <si>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</si>
  <si>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</si>
  <si>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</si>
  <si>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</si>
  <si>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</si>
  <si>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</si>
  <si>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</si>
  <si>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</si>
  <si>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</si>
  <si>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</si>
  <si>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</si>
  <si>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</si>
  <si>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</si>
  <si>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</si>
  <si>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</si>
  <si>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</si>
  <si>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</si>
  <si>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</si>
  <si>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</si>
  <si>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</si>
  <si>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</si>
  <si>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</si>
  <si>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</si>
  <si>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</si>
  <si>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</si>
  <si>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</si>
  <si>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</si>
  <si>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</si>
  <si>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</si>
  <si>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</si>
  <si>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</si>
  <si>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</si>
  <si>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</si>
  <si>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</si>
  <si>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</si>
  <si>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</si>
  <si>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</si>
  <si>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</si>
  <si>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</si>
  <si>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</si>
  <si>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</si>
  <si>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</si>
  <si>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</si>
  <si>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</si>
  <si>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</si>
  <si>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</si>
  <si>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</si>
  <si>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</si>
  <si>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</si>
  <si>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</si>
  <si>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</si>
  <si>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</si>
  <si>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</si>
  <si>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</si>
  <si>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</si>
  <si>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</si>
  <si>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</si>
  <si>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</si>
  <si>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</si>
  <si>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</si>
  <si>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</si>
  <si>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</si>
  <si>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</si>
  <si>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</si>
  <si>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</si>
  <si>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</si>
  <si>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</si>
  <si>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</si>
  <si>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</si>
  <si>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</si>
  <si>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</si>
  <si>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</si>
  <si>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</si>
  <si>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</si>
  <si>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</si>
  <si>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</si>
  <si>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</si>
  <si>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</si>
  <si>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</si>
  <si>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</si>
  <si>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</si>
  <si>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</si>
  <si>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</si>
  <si>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</si>
  <si>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</si>
  <si>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</si>
  <si>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</si>
  <si>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</si>
  <si>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</si>
  <si>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</si>
  <si>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</si>
  <si>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</si>
  <si>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</si>
  <si>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</si>
  <si>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</si>
  <si>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</si>
  <si>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</si>
  <si>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</si>
  <si>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</si>
  <si>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</si>
  <si>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</si>
  <si>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</si>
  <si>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</si>
  <si>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</si>
  <si>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</si>
  <si>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</si>
  <si>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</si>
  <si>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</si>
  <si>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</si>
  <si>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</si>
  <si>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</si>
  <si>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</si>
  <si>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</si>
  <si>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</si>
  <si>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</si>
  <si>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</si>
  <si>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</si>
  <si>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</si>
  <si>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</si>
  <si>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</si>
  <si>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</si>
  <si>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</si>
  <si>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</si>
  <si>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</si>
  <si>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</si>
  <si>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</si>
  <si>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</si>
  <si>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</si>
  <si>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</si>
  <si>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</si>
  <si>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</si>
  <si>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</si>
  <si>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</si>
  <si>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</si>
  <si>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</si>
  <si>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</si>
  <si>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</si>
  <si>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</si>
  <si>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</si>
  <si>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</si>
  <si>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</si>
  <si>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</si>
  <si>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</si>
  <si>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</si>
  <si>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</si>
  <si>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</si>
  <si>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</si>
  <si>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</si>
  <si>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</si>
  <si>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</si>
  <si>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</si>
  <si>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</si>
  <si>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</si>
  <si>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</si>
  <si>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</si>
  <si>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</si>
  <si>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</si>
  <si>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</si>
  <si>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</si>
  <si>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</si>
  <si>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</si>
  <si>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</si>
  <si>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</si>
  <si>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</si>
  <si>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</si>
  <si>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</si>
  <si>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</si>
  <si>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</si>
  <si>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</si>
  <si>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</si>
  <si>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</si>
  <si>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</si>
  <si>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</si>
  <si>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</si>
  <si>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</si>
  <si>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</si>
  <si>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</si>
  <si>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</si>
  <si>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</si>
  <si>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</si>
  <si>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</si>
  <si>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</si>
  <si>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</si>
  <si>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</si>
  <si>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</si>
  <si>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</si>
  <si>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</si>
  <si>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</si>
  <si>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</si>
  <si>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</si>
  <si>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</si>
  <si>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</si>
  <si>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</si>
  <si>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</si>
  <si>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</si>
  <si>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</si>
  <si>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</si>
  <si>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</si>
  <si>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</si>
  <si>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</si>
  <si>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</si>
  <si>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</si>
  <si>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</si>
  <si>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</si>
  <si>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</si>
  <si>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</si>
  <si>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</si>
  <si>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</si>
  <si>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</si>
  <si>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</si>
  <si>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</si>
  <si>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</si>
  <si>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</si>
  <si>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</si>
  <si>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</si>
  <si>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</si>
  <si>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</si>
  <si>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</si>
  <si>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</si>
  <si>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</si>
  <si>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</si>
  <si>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</si>
  <si>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</si>
  <si>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</si>
  <si>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</si>
  <si>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</si>
  <si>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</si>
  <si>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</si>
  <si>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</si>
  <si>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</si>
  <si>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</si>
  <si>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</si>
  <si>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</si>
  <si>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</si>
  <si>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</si>
  <si>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</si>
  <si>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</si>
  <si>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</si>
  <si>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</si>
  <si>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</si>
  <si>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</si>
  <si>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</si>
  <si>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</si>
  <si>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</si>
  <si>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</si>
  <si>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</si>
  <si>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</si>
  <si>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</si>
  <si>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</si>
  <si>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</si>
  <si>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</si>
  <si>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</si>
  <si>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</si>
  <si>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</si>
  <si>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</si>
  <si>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</si>
  <si>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</si>
  <si>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</si>
  <si>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</si>
  <si>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</si>
  <si>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</si>
  <si>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</si>
  <si>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</si>
  <si>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</si>
  <si>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</si>
  <si>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</si>
  <si>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</si>
  <si>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</si>
  <si>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</si>
  <si>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</si>
  <si>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</si>
  <si>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</si>
  <si>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</si>
  <si>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</si>
  <si>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</si>
  <si>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</si>
  <si>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</si>
  <si>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</si>
  <si>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</si>
  <si>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</si>
  <si>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</si>
  <si>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</si>
  <si>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</si>
  <si>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</si>
  <si>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</si>
  <si>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</si>
  <si>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</si>
  <si>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</si>
  <si>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</si>
  <si>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</si>
  <si>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</si>
  <si>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</si>
  <si>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</si>
  <si>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</si>
  <si>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</si>
  <si>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</si>
  <si>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</si>
  <si>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</si>
  <si>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</si>
  <si>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</si>
  <si>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</si>
  <si>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</si>
  <si>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</si>
  <si>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</si>
  <si>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</si>
  <si>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</si>
  <si>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</si>
  <si>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</si>
  <si>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</si>
  <si>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</si>
  <si>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</si>
  <si>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</si>
  <si>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</si>
  <si>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</si>
  <si>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</si>
  <si>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</si>
  <si>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</si>
  <si>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</si>
  <si>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</si>
  <si>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</si>
  <si>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</si>
  <si>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</si>
  <si>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</si>
  <si>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</si>
  <si>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</si>
  <si>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</si>
  <si>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</si>
  <si>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</si>
  <si>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</si>
  <si>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</si>
  <si>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</si>
  <si>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</si>
  <si>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</si>
  <si>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</si>
  <si>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</si>
  <si>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</si>
  <si>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</si>
  <si>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</si>
  <si>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</si>
  <si>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</si>
  <si>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</si>
  <si>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</si>
  <si>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</si>
  <si>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</si>
  <si>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</si>
  <si>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</si>
  <si>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</si>
  <si>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</si>
  <si>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</si>
  <si>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</si>
  <si>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</si>
  <si>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</si>
  <si>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</si>
  <si>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</si>
  <si>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</si>
  <si>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</si>
  <si>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</si>
  <si>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</si>
  <si>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</si>
  <si>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</si>
  <si>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</si>
  <si>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</si>
  <si>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</si>
  <si>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</si>
  <si>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</si>
  <si>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</si>
  <si>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</si>
  <si>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</si>
  <si>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</si>
  <si>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</si>
  <si>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</si>
  <si>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</si>
  <si>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</si>
  <si>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</si>
  <si>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</si>
  <si>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</si>
  <si>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</si>
  <si>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</si>
  <si>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</si>
  <si>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</si>
  <si>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</si>
  <si>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</si>
  <si>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</si>
  <si>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</si>
  <si>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</si>
  <si>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</si>
  <si>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</si>
  <si>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</si>
  <si>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</si>
  <si>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</si>
  <si>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</si>
  <si>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</si>
  <si>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</si>
  <si>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</si>
  <si>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</si>
  <si>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</si>
  <si>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</si>
  <si>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</si>
  <si>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</si>
  <si>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</si>
  <si>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</si>
  <si>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</si>
  <si>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</si>
  <si>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</si>
  <si>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</si>
  <si>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</si>
  <si>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</si>
  <si>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</si>
  <si>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</si>
  <si>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</si>
  <si>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</si>
  <si>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</si>
  <si>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</si>
  <si>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</si>
  <si>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</si>
  <si>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</si>
  <si>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</si>
  <si>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</si>
  <si>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</si>
  <si>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</si>
  <si>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</si>
  <si>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</si>
  <si>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</si>
  <si>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</si>
  <si>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</si>
  <si>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</si>
  <si>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</si>
  <si>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</si>
  <si>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</si>
  <si>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</si>
  <si>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</si>
  <si>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</si>
  <si>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</si>
  <si>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</si>
  <si>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</si>
  <si>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</si>
  <si>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</si>
  <si>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</si>
  <si>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</si>
  <si>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</si>
  <si>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</si>
  <si>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</si>
  <si>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</si>
  <si>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</si>
  <si>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</si>
  <si>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</si>
  <si>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</si>
  <si>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</si>
  <si>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</si>
  <si>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</si>
  <si>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</si>
  <si>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</si>
  <si>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</si>
  <si>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</si>
  <si>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</si>
  <si>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</si>
  <si>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</si>
  <si>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</si>
  <si>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</si>
  <si>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</si>
  <si>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</si>
  <si>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</si>
  <si>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</si>
  <si>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</si>
  <si>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</si>
  <si>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</si>
  <si>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</si>
  <si>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</si>
  <si>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</si>
  <si>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</si>
  <si>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</si>
  <si>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</si>
  <si>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</si>
  <si>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</si>
  <si>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</si>
  <si>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</si>
  <si>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</si>
  <si>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</si>
  <si>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</si>
  <si>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</si>
  <si>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</si>
  <si>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</si>
  <si>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</si>
  <si>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</si>
  <si>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</si>
  <si>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</si>
  <si>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</si>
  <si>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</si>
  <si>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</si>
  <si>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</si>
  <si>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</si>
  <si>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</si>
  <si>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</si>
  <si>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</si>
  <si>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</si>
  <si>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</si>
  <si>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</si>
  <si>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</si>
  <si>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</si>
  <si>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</si>
  <si>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</si>
  <si>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</si>
  <si>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</si>
  <si>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</si>
  <si>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</si>
  <si>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</si>
  <si>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</si>
  <si>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</si>
  <si>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</si>
  <si>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</si>
  <si>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</si>
  <si>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</si>
  <si>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</si>
  <si>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</si>
  <si>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</si>
  <si>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</si>
  <si>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</si>
  <si>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</si>
  <si>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</si>
  <si>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</si>
  <si>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</si>
  <si>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</si>
  <si>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</si>
  <si>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</si>
  <si>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</si>
  <si>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</si>
  <si>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</si>
  <si>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</si>
  <si>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</si>
  <si>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</si>
  <si>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</si>
  <si>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</si>
  <si>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</si>
  <si>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</si>
  <si>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</si>
  <si>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</si>
  <si>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</si>
  <si>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</si>
  <si>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</si>
  <si>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</si>
  <si>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</si>
  <si>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</si>
  <si>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</si>
  <si>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</si>
  <si>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</si>
  <si>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</si>
  <si>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</si>
  <si>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</si>
  <si>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</si>
  <si>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</si>
  <si>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</si>
  <si>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</si>
  <si>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</si>
  <si>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</si>
  <si>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</si>
  <si>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</si>
  <si>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</si>
  <si>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</si>
  <si>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</si>
  <si>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</si>
  <si>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</si>
  <si>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</si>
  <si>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</si>
  <si>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</si>
  <si>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</si>
  <si>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</si>
  <si>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</si>
  <si>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</si>
  <si>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</si>
  <si>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</si>
  <si>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</si>
  <si>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</si>
  <si>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</si>
  <si>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</si>
  <si>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</si>
  <si>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</si>
  <si>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</si>
  <si>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</si>
  <si>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</si>
  <si>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</si>
  <si>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</si>
  <si>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</si>
  <si>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</si>
  <si>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</si>
  <si>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</si>
  <si>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</si>
  <si>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</si>
  <si>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</si>
  <si>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</si>
  <si>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</si>
  <si>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</si>
  <si>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</si>
  <si>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</si>
  <si>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</si>
  <si>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</si>
  <si>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</si>
  <si>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</si>
  <si>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</si>
  <si>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</si>
  <si>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</si>
  <si>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</si>
  <si>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</si>
  <si>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</si>
  <si>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</si>
  <si>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</si>
  <si>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</si>
  <si>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</si>
  <si>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</si>
  <si>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</si>
  <si>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</si>
  <si>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</si>
  <si>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</si>
  <si>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</si>
  <si>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</si>
  <si>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</si>
  <si>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</si>
  <si>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</si>
  <si>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</si>
  <si>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</si>
  <si>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</si>
  <si>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</si>
  <si>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</si>
  <si>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</si>
  <si>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</si>
  <si>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</si>
  <si>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</si>
  <si>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</si>
  <si>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</si>
  <si>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</si>
  <si>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</si>
  <si>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</si>
  <si>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</si>
  <si>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</si>
  <si>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</si>
  <si>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</si>
  <si>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</si>
  <si>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</si>
  <si>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</si>
  <si>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</si>
  <si>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</si>
  <si>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</si>
  <si>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</si>
  <si>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</si>
  <si>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</si>
  <si>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</si>
  <si>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</si>
  <si>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</si>
  <si>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</si>
  <si>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</si>
  <si>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</si>
  <si>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</si>
  <si>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</si>
  <si>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</si>
  <si>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</si>
  <si>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</si>
  <si>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</si>
  <si>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</si>
  <si>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</si>
  <si>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</si>
  <si>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</si>
  <si>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</si>
  <si>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</si>
  <si>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</si>
  <si>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</si>
  <si>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</si>
  <si>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</si>
  <si>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</si>
  <si>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</si>
  <si>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</si>
  <si>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</si>
  <si>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</si>
  <si>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</si>
  <si>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</si>
  <si>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</si>
  <si>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</si>
  <si>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</si>
  <si>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</si>
  <si>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</si>
  <si>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</si>
  <si>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</si>
  <si>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</si>
  <si>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</si>
  <si>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</si>
  <si>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</si>
  <si>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</si>
  <si>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</si>
  <si>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</si>
  <si>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</si>
  <si>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</si>
  <si>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</si>
  <si>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</si>
  <si>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</si>
  <si>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</si>
  <si>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</si>
  <si>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</si>
  <si>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</si>
  <si>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</si>
  <si>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</si>
  <si>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</si>
  <si>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</si>
  <si>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</si>
  <si>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</si>
  <si>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</si>
  <si>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</si>
  <si>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</si>
  <si>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</si>
  <si>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</si>
  <si>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</si>
  <si>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</si>
  <si>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</si>
  <si>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</si>
  <si>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</si>
  <si>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</si>
  <si>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</si>
  <si>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</si>
  <si>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</si>
  <si>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</si>
  <si>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</si>
  <si>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</si>
  <si>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</si>
  <si>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</si>
  <si>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</si>
  <si>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</si>
  <si>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</si>
  <si>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</si>
  <si>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</si>
  <si>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</si>
  <si>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</si>
  <si>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</si>
  <si>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</si>
  <si>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</si>
  <si>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</si>
  <si>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</si>
  <si>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</si>
  <si>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</si>
  <si>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</si>
  <si>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</si>
  <si>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</si>
  <si>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</si>
  <si>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</si>
  <si>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</si>
  <si>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</si>
  <si>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</si>
  <si>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</si>
  <si>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</si>
  <si>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</si>
  <si>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</si>
  <si>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</si>
  <si>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</si>
  <si>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</si>
  <si>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</si>
  <si>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</si>
  <si>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</si>
  <si>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</si>
  <si>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</si>
  <si>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</si>
  <si>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</si>
  <si>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</si>
  <si>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</si>
  <si>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</si>
  <si>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</si>
  <si>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</si>
  <si>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</si>
  <si>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</si>
  <si>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</si>
  <si>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</si>
  <si>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</si>
  <si>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</si>
  <si>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</si>
  <si>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</si>
  <si>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</si>
  <si>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</si>
  <si>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</si>
  <si>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</si>
  <si>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</si>
  <si>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</si>
  <si>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</si>
  <si>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</si>
  <si>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</si>
  <si>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</si>
  <si>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</si>
  <si>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</si>
  <si>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</si>
  <si>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</si>
  <si>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</si>
  <si>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</si>
  <si>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</si>
  <si>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</si>
  <si>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</si>
  <si>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</si>
  <si>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</si>
  <si>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</si>
  <si>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</si>
  <si>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</si>
  <si>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</si>
  <si>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</si>
  <si>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</si>
  <si>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</si>
  <si>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</si>
  <si>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</si>
  <si>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</si>
  <si>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</si>
  <si>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</si>
  <si>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</si>
  <si>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</si>
  <si>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</si>
  <si>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</si>
  <si>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</si>
  <si>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</si>
  <si>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</si>
  <si>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</si>
  <si>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</si>
  <si>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</si>
  <si>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</si>
  <si>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</si>
  <si>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</si>
  <si>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</si>
  <si>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</si>
  <si>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</si>
  <si>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</si>
  <si>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</si>
  <si>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</si>
  <si>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</si>
  <si>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</si>
  <si>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</si>
  <si>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</si>
  <si>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</si>
  <si>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</si>
  <si>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</si>
  <si>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</si>
  <si>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</si>
  <si>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</si>
  <si>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</si>
  <si>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</si>
  <si>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</si>
  <si>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</si>
  <si>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</si>
  <si>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</si>
  <si>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</si>
  <si>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</si>
  <si>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</si>
  <si>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</si>
  <si>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</si>
  <si>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</si>
  <si>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</si>
  <si>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</si>
  <si>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</si>
  <si>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</si>
  <si>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</si>
  <si>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</si>
  <si>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</si>
  <si>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</si>
  <si>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</si>
  <si>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</si>
  <si>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</si>
  <si>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</si>
  <si>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</si>
  <si>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</si>
  <si>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</si>
  <si>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</si>
  <si>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</si>
  <si>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</si>
  <si>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</si>
  <si>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</si>
  <si>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</si>
  <si>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</si>
  <si>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</si>
  <si>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</si>
  <si>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</si>
  <si>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</si>
  <si>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</si>
  <si>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</si>
  <si>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</si>
  <si>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</si>
  <si>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</si>
  <si>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</si>
  <si>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</si>
  <si>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</si>
  <si>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</si>
  <si>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</si>
  <si>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</si>
  <si>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</si>
  <si>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</si>
  <si>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</si>
  <si>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</si>
  <si>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</si>
  <si>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</si>
  <si>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</si>
  <si>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</si>
  <si>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</si>
  <si>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</si>
  <si>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</si>
  <si>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</si>
  <si>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</si>
  <si>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</si>
  <si>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</si>
  <si>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</si>
  <si>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</si>
  <si>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</si>
  <si>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</si>
  <si>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</si>
  <si>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</si>
  <si>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</si>
  <si>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</si>
  <si>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</si>
  <si>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</si>
  <si>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</si>
  <si>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</si>
  <si>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</si>
  <si>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</si>
  <si>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</si>
  <si>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</si>
  <si>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</si>
  <si>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</si>
  <si>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</si>
  <si>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</si>
  <si>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</si>
  <si>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</si>
  <si>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</si>
  <si>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</si>
  <si>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</si>
  <si>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</si>
  <si>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</si>
  <si>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</si>
  <si>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</si>
  <si>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</si>
  <si>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</si>
  <si>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</si>
  <si>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</si>
  <si>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</si>
  <si>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</si>
  <si>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</si>
  <si>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</si>
  <si>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</si>
  <si>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</si>
  <si>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</si>
  <si>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</si>
  <si>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</si>
  <si>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</si>
  <si>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</si>
  <si>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</si>
  <si>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</si>
  <si>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</si>
  <si>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</si>
  <si>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</si>
  <si>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</si>
  <si>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</si>
  <si>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</si>
  <si>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</si>
  <si>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</si>
  <si>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</si>
  <si>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</si>
  <si>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</si>
  <si>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</si>
  <si>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</si>
  <si>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</si>
  <si>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</si>
  <si>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</si>
  <si>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</si>
  <si>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</si>
  <si>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</si>
  <si>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</si>
  <si>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</si>
  <si>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</si>
  <si>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</si>
  <si>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</si>
  <si>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</si>
  <si>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</si>
  <si>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</si>
  <si>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</si>
  <si>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</si>
  <si>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</si>
  <si>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</si>
  <si>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</si>
  <si>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</si>
  <si>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</si>
  <si>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</si>
  <si>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</si>
  <si>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</si>
  <si>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</si>
  <si>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</si>
  <si>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</si>
  <si>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</si>
  <si>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</si>
  <si>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</si>
  <si>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</si>
  <si>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</si>
  <si>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</si>
  <si>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</si>
  <si>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</si>
  <si>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</si>
  <si>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</si>
  <si>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</si>
  <si>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</si>
  <si>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</si>
  <si>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</si>
  <si>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</si>
  <si>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</si>
  <si>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</si>
  <si>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</si>
  <si>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</si>
  <si>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</si>
  <si>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</si>
  <si>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</si>
  <si>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</si>
  <si>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</si>
  <si>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</si>
  <si>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</si>
  <si>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</si>
  <si>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</si>
  <si>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</si>
  <si>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</si>
  <si>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</si>
  <si>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</si>
  <si>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</si>
  <si>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</si>
  <si>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</si>
  <si>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</si>
  <si>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</si>
  <si>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</si>
  <si>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</si>
  <si>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</si>
  <si>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</si>
  <si>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</si>
  <si>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</si>
  <si>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</si>
  <si>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</si>
  <si>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</si>
  <si>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</si>
  <si>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</si>
  <si>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</si>
  <si>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</si>
  <si>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</si>
  <si>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</si>
  <si>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</si>
  <si>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</si>
  <si>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</si>
  <si>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</si>
  <si>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</si>
  <si>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</si>
  <si>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</si>
  <si>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</si>
  <si>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</si>
  <si>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</si>
  <si>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</si>
  <si>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</si>
  <si>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</si>
  <si>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</si>
  <si>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</si>
  <si>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</si>
  <si>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</si>
  <si>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</si>
  <si>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</si>
  <si>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</si>
  <si>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</si>
  <si>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</si>
  <si>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</si>
  <si>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</si>
  <si>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</si>
  <si>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</si>
  <si>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</si>
  <si>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</si>
  <si>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</si>
  <si>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</si>
  <si>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</si>
  <si>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</si>
  <si>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</si>
  <si>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</si>
  <si>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</si>
  <si>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</si>
  <si>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</si>
  <si>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</si>
  <si>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</si>
  <si>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</si>
  <si>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</si>
  <si>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</si>
  <si>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</si>
  <si>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</si>
  <si>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</si>
  <si>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</si>
  <si>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</si>
  <si>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</si>
  <si>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</si>
  <si>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</si>
  <si>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</si>
  <si>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</si>
  <si>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</si>
  <si>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</si>
  <si>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</si>
  <si>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</si>
  <si>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</si>
  <si>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</si>
  <si>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</si>
  <si>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</si>
  <si>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</si>
  <si>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</si>
  <si>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</si>
  <si>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</si>
  <si>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</si>
  <si>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</si>
  <si>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</si>
  <si>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</si>
  <si>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</si>
  <si>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</si>
  <si>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</si>
  <si>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</si>
  <si>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</si>
  <si>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</si>
  <si>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</si>
  <si>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</si>
  <si>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</si>
  <si>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</si>
  <si>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</si>
  <si>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</si>
  <si>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</si>
  <si>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</si>
  <si>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</si>
  <si>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</si>
  <si>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</si>
  <si>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</si>
  <si>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</si>
  <si>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</si>
  <si>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</si>
  <si>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</si>
  <si>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</si>
  <si>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</si>
  <si>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</si>
  <si>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</si>
  <si>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</si>
  <si>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</si>
  <si>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</si>
  <si>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</si>
  <si>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</si>
  <si>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</si>
  <si>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</si>
  <si>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</si>
  <si>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</si>
  <si>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</si>
  <si>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</si>
  <si>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</si>
  <si>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</si>
  <si>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</si>
  <si>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</si>
  <si>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</si>
  <si>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</si>
  <si>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</si>
  <si>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</si>
  <si>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</si>
  <si>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</si>
  <si>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</si>
  <si>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</si>
  <si>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</si>
  <si>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</si>
  <si>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</si>
  <si>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</si>
  <si>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</si>
  <si>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</si>
  <si>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</si>
  <si>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</si>
  <si>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</si>
  <si>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</si>
  <si>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</si>
  <si>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</si>
  <si>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</si>
  <si>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</si>
  <si>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</si>
  <si>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</si>
  <si>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</si>
  <si>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</si>
  <si>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</si>
  <si>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</si>
  <si>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</si>
  <si>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</si>
  <si>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</si>
  <si>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</si>
  <si>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</si>
  <si>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</si>
  <si>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</si>
  <si>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</si>
  <si>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</si>
  <si>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</si>
  <si>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</si>
  <si>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</si>
  <si>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</si>
  <si>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</si>
  <si>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</si>
  <si>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</si>
  <si>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</si>
  <si>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</si>
  <si>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</si>
  <si>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</si>
  <si>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</si>
  <si>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</si>
  <si>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</si>
  <si>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</si>
  <si>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</si>
  <si>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</si>
  <si>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</si>
  <si>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</si>
  <si>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</si>
  <si>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</si>
  <si>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</si>
  <si>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</si>
  <si>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</si>
  <si>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</si>
  <si>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</si>
  <si>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</si>
  <si>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</si>
  <si>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</si>
  <si>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</si>
  <si>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</si>
  <si>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</si>
  <si>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</si>
  <si>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</si>
  <si>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</si>
  <si>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</si>
  <si>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</si>
  <si>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</si>
  <si>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</si>
  <si>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</si>
  <si>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</si>
  <si>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</si>
  <si>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</si>
  <si>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</si>
  <si>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</si>
  <si>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</si>
  <si>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</si>
  <si>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</si>
  <si>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</si>
  <si>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</si>
  <si>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</si>
  <si>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</si>
  <si>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</si>
  <si>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</si>
  <si>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</si>
  <si>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</si>
  <si>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</si>
  <si>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</si>
  <si>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</si>
  <si>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</si>
  <si>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</si>
  <si>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</si>
  <si>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</si>
  <si>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</si>
  <si>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</si>
  <si>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</si>
  <si>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</si>
  <si>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</si>
  <si>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</si>
  <si>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</si>
  <si>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</si>
  <si>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</si>
  <si>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</si>
  <si>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</si>
  <si>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</si>
  <si>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</si>
  <si>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</si>
  <si>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</si>
  <si>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</si>
  <si>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</si>
  <si>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</si>
  <si>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</si>
  <si>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</si>
  <si>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</si>
  <si>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</si>
  <si>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</si>
  <si>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</si>
  <si>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</si>
  <si>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</si>
  <si>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</si>
  <si>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</si>
  <si>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</si>
  <si>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</si>
  <si>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</si>
  <si>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</si>
  <si>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</si>
  <si>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</si>
  <si>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</si>
  <si>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</si>
  <si>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</si>
  <si>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</si>
  <si>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</si>
  <si>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</si>
  <si>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</si>
  <si>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</si>
  <si>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</si>
  <si>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</si>
  <si>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</si>
  <si>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</si>
  <si>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</si>
  <si>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</si>
  <si>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</si>
  <si>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</si>
  <si>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</si>
  <si>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</si>
  <si>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</si>
  <si>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</si>
  <si>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</si>
  <si>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</si>
  <si>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</si>
  <si>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</si>
  <si>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</si>
  <si>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</si>
  <si>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</si>
  <si>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</si>
  <si>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</si>
  <si>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</si>
  <si>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</si>
  <si>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</si>
  <si>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</si>
  <si>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</si>
  <si>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</si>
  <si>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</si>
  <si>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</si>
  <si>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</si>
  <si>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</si>
  <si>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</si>
  <si>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</si>
  <si>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</si>
  <si>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</si>
  <si>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</si>
  <si>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</si>
  <si>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</si>
  <si>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</si>
  <si>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</si>
  <si>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</si>
  <si>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</si>
  <si>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</si>
  <si>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</si>
  <si>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</si>
  <si>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</si>
  <si>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</si>
  <si>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</si>
  <si>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</si>
  <si>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</si>
  <si>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</si>
  <si>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</si>
  <si>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</si>
  <si>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</si>
  <si>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</si>
  <si>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</si>
  <si>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</si>
  <si>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</si>
  <si>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</si>
  <si>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</si>
  <si>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</si>
  <si>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</si>
  <si>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</si>
  <si>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</si>
  <si>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</si>
  <si>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</si>
  <si>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</si>
  <si>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</si>
  <si>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</si>
  <si>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</si>
  <si>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</si>
  <si>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</si>
  <si>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</si>
  <si>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</si>
  <si>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</si>
  <si>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</si>
  <si>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</si>
  <si>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</si>
  <si>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</si>
  <si>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</si>
  <si>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</si>
  <si>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</si>
  <si>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</si>
  <si>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</si>
  <si>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</si>
  <si>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</si>
  <si>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</si>
  <si>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</si>
  <si>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</si>
  <si>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</si>
  <si>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</si>
  <si>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</si>
  <si>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</si>
  <si>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</si>
  <si>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</si>
  <si>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</si>
  <si>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</si>
  <si>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</si>
  <si>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</si>
  <si>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</si>
  <si>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</si>
  <si>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</si>
  <si>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</si>
  <si>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</si>
  <si>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</si>
  <si>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</si>
  <si>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</si>
  <si>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</si>
  <si>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</si>
  <si>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</si>
  <si>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</si>
  <si>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</si>
  <si>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</si>
  <si>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</si>
  <si>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</si>
  <si>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</si>
  <si>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</si>
  <si>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</si>
  <si>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</si>
  <si>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</si>
  <si>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</si>
  <si>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</si>
  <si>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</si>
  <si>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</si>
  <si>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</si>
  <si>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</si>
  <si>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</si>
  <si>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</si>
  <si>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</si>
  <si>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</si>
  <si>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</si>
  <si>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</si>
  <si>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</si>
  <si>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</si>
  <si>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</si>
  <si>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</si>
  <si>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</si>
  <si>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</si>
  <si>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</si>
  <si>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</si>
  <si>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</si>
  <si>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</si>
  <si>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</si>
  <si>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</si>
  <si>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</si>
  <si>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</si>
  <si>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</si>
  <si>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</si>
  <si>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</si>
  <si>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</si>
  <si>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</si>
  <si>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</si>
  <si>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</si>
  <si>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</si>
  <si>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</si>
  <si>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</si>
  <si>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</si>
  <si>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</si>
  <si>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</si>
  <si>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</si>
  <si>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</si>
  <si>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</si>
  <si>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</si>
  <si>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</si>
  <si>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</si>
  <si>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</si>
  <si>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</si>
  <si>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</si>
  <si>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</si>
  <si>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</si>
  <si>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</si>
  <si>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</si>
  <si>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</si>
  <si>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</si>
  <si>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</si>
  <si>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</si>
  <si>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</si>
  <si>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</si>
  <si>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</si>
  <si>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</si>
  <si>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</si>
  <si>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</si>
  <si>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</si>
  <si>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</si>
  <si>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</si>
  <si>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</si>
  <si>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</si>
  <si>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</si>
  <si>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</si>
  <si>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</si>
  <si>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</si>
  <si>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</si>
  <si>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</si>
  <si>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</si>
  <si>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</si>
  <si>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</si>
  <si>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</si>
  <si>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</si>
  <si>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</si>
  <si>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</si>
  <si>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</si>
  <si>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</si>
  <si>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</si>
  <si>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</si>
  <si>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</si>
  <si>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</si>
  <si>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</si>
  <si>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</si>
  <si>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</si>
  <si>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</si>
  <si>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</si>
  <si>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</si>
  <si>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</si>
  <si>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</si>
  <si>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</si>
  <si>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</si>
  <si>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</si>
  <si>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</si>
  <si>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</si>
  <si>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</si>
  <si>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</si>
  <si>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</si>
  <si>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</si>
  <si>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</si>
  <si>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</si>
  <si>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</si>
  <si>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</si>
  <si>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</si>
  <si>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</si>
  <si>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</si>
  <si>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</si>
  <si>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</si>
  <si>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</si>
  <si>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</si>
  <si>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</si>
  <si>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</si>
  <si>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</si>
  <si>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</si>
  <si>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</si>
  <si>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</si>
  <si>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</si>
  <si>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</si>
  <si>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</si>
  <si>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</si>
  <si>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</si>
  <si>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</si>
  <si>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</si>
  <si>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</si>
  <si>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</si>
  <si>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</si>
  <si>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</si>
  <si>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</si>
  <si>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</si>
  <si>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</si>
  <si>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</si>
  <si>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</si>
  <si>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</si>
  <si>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</si>
  <si>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</si>
  <si>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</si>
  <si>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</si>
  <si>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</si>
  <si>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</si>
  <si>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</si>
  <si>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</si>
  <si>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</si>
  <si>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</si>
  <si>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</si>
  <si>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</si>
  <si>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</si>
  <si>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</si>
  <si>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</si>
  <si>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</si>
  <si>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</si>
  <si>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</si>
  <si>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</si>
  <si>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</si>
  <si>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</si>
  <si>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</si>
  <si>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</si>
  <si>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</si>
  <si>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</si>
  <si>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</si>
  <si>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</si>
  <si>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</si>
  <si>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</si>
  <si>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</si>
  <si>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</si>
  <si>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</si>
  <si>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</si>
  <si>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</si>
  <si>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</si>
  <si>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</si>
  <si>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</si>
  <si>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</si>
  <si>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</si>
  <si>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</si>
  <si>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</si>
  <si>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</si>
  <si>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</si>
  <si>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</si>
  <si>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</si>
  <si>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</si>
  <si>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</si>
  <si>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</si>
  <si>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</si>
  <si>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</si>
  <si>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</si>
  <si>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</si>
  <si>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</si>
  <si>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</si>
  <si>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</si>
  <si>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</si>
  <si>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</si>
  <si>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</si>
  <si>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</si>
  <si>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</si>
  <si>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</si>
  <si>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</si>
  <si>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</si>
  <si>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</si>
  <si>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</si>
  <si>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</si>
  <si>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</si>
  <si>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</si>
  <si>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</si>
  <si>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</si>
  <si>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</si>
  <si>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</si>
  <si>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</si>
  <si>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</si>
  <si>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</si>
  <si>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</si>
  <si>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</si>
  <si>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</si>
  <si>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</si>
  <si>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</si>
  <si>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</si>
  <si>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</si>
  <si>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</si>
  <si>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</si>
  <si>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</si>
  <si>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</si>
  <si>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</si>
  <si>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</si>
  <si>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</si>
  <si>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</si>
  <si>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</si>
  <si>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</si>
  <si>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</si>
  <si>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</si>
  <si>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</si>
  <si>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</si>
  <si>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</si>
  <si>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</si>
  <si>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</si>
  <si>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</si>
  <si>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</si>
  <si>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</si>
  <si>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</si>
  <si>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</si>
  <si>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</si>
  <si>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</si>
  <si>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</si>
  <si>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</si>
  <si>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</si>
  <si>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</si>
  <si>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</si>
  <si>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</si>
  <si>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</si>
  <si>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</si>
  <si>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</si>
  <si>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</si>
  <si>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</si>
  <si>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</si>
  <si>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</si>
  <si>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</si>
  <si>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</si>
  <si>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</si>
  <si>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</si>
  <si>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</si>
  <si>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</si>
  <si>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</si>
  <si>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</si>
  <si>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</si>
  <si>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</si>
  <si>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</si>
  <si>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</si>
  <si>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</si>
  <si>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</si>
  <si>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</si>
  <si>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</si>
  <si>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</si>
  <si>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</si>
  <si>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</si>
  <si>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</si>
  <si>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</si>
  <si>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</si>
  <si>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</si>
  <si>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</si>
  <si>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</si>
  <si>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</si>
  <si>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</si>
  <si>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</si>
  <si>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</si>
  <si>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</si>
  <si>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</si>
  <si>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</si>
  <si>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</si>
  <si>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</si>
  <si>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</si>
  <si>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</si>
  <si>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</si>
  <si>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</si>
  <si>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</si>
  <si>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</si>
  <si>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</si>
  <si>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</si>
  <si>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</si>
  <si>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</si>
  <si>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</si>
  <si>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</si>
  <si>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</si>
  <si>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</si>
  <si>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</si>
  <si>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</si>
  <si>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</si>
  <si>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</si>
  <si>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</si>
  <si>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</si>
  <si>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</si>
  <si>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</si>
  <si>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</si>
  <si>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</si>
  <si>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</si>
  <si>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</si>
  <si>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</si>
  <si>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</si>
  <si>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</si>
  <si>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</si>
  <si>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</si>
  <si>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</si>
  <si>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</si>
  <si>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</si>
  <si>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</si>
  <si>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</si>
  <si>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</si>
  <si>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</si>
  <si>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</si>
  <si>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</si>
  <si>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</si>
  <si>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</si>
  <si>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</si>
  <si>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</si>
  <si>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</si>
  <si>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</si>
  <si>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</si>
  <si>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</si>
  <si>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</si>
  <si>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</si>
  <si>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</si>
  <si>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</si>
  <si>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</si>
  <si>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</si>
  <si>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</si>
  <si>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</si>
  <si>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</si>
  <si>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</si>
  <si>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</si>
  <si>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</si>
  <si>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</si>
  <si>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</si>
  <si>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</si>
  <si>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</si>
  <si>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</si>
  <si>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</si>
  <si>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</si>
  <si>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</si>
  <si>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</si>
  <si>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</si>
  <si>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</si>
  <si>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</si>
  <si>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</si>
  <si>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</si>
  <si>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</si>
  <si>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</si>
  <si>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</si>
  <si>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</si>
  <si>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</si>
  <si>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</si>
  <si>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</si>
  <si>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</si>
  <si>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</si>
  <si>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</si>
  <si>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</si>
  <si>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</si>
  <si>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</si>
  <si>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</si>
  <si>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</si>
  <si>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</si>
  <si>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</si>
  <si>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</si>
  <si>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</si>
  <si>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</si>
  <si>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</si>
  <si>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</si>
  <si>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</si>
  <si>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</si>
  <si>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</si>
  <si>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</si>
  <si>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</si>
  <si>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</si>
  <si>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</si>
  <si>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</si>
  <si>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</si>
  <si>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</si>
  <si>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</si>
  <si>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</si>
  <si>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</si>
  <si>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</si>
  <si>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</si>
  <si>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</si>
  <si>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</si>
  <si>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</si>
  <si>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</si>
  <si>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</si>
  <si>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</si>
  <si>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</si>
  <si>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</si>
  <si>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</si>
  <si>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</si>
  <si>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</si>
  <si>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</si>
  <si>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</si>
  <si>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</si>
  <si>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</si>
  <si>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</si>
  <si>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</si>
  <si>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</si>
  <si>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</si>
  <si>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</si>
  <si>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</si>
  <si>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</si>
  <si>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</si>
  <si>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</si>
  <si>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</si>
  <si>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</si>
  <si>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</si>
  <si>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</si>
  <si>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</si>
  <si>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</si>
  <si>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</si>
  <si>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</si>
  <si>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</si>
  <si>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</si>
  <si>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</si>
  <si>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</si>
  <si>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</si>
  <si>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</si>
  <si>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</si>
  <si>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</si>
  <si>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</si>
  <si>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</si>
  <si>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</si>
  <si>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</si>
  <si>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</si>
  <si>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</si>
  <si>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</si>
  <si>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</si>
  <si>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</si>
  <si>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</si>
  <si>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</si>
  <si>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</si>
  <si>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</si>
  <si>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</si>
  <si>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</si>
  <si>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</si>
  <si>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</si>
  <si>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</si>
  <si>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</si>
  <si>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</si>
  <si>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</si>
  <si>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</si>
  <si>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</si>
  <si>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</si>
  <si>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</si>
  <si>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</si>
  <si>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</si>
  <si>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</si>
  <si>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</si>
  <si>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</si>
  <si>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</si>
  <si>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</si>
  <si>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</si>
  <si>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</si>
  <si>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</si>
  <si>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</si>
  <si>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</si>
  <si>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</si>
  <si>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</si>
  <si>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</si>
  <si>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</si>
  <si>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</si>
  <si>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</si>
  <si>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</si>
  <si>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</si>
  <si>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</si>
  <si>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</si>
  <si>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</si>
  <si>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</si>
  <si>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</si>
  <si>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</si>
  <si>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</si>
  <si>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</si>
  <si>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</si>
  <si>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</si>
  <si>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</si>
  <si>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</si>
  <si>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</si>
  <si>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</si>
  <si>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</si>
  <si>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</si>
  <si>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</si>
  <si>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</si>
  <si>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</si>
  <si>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</si>
  <si>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</si>
  <si>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</si>
  <si>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</si>
  <si>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</si>
  <si>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</si>
  <si>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</si>
  <si>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</si>
  <si>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</si>
  <si>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</si>
  <si>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</si>
  <si>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</si>
  <si>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</si>
  <si>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</si>
  <si>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</si>
  <si>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</si>
  <si>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</si>
  <si>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</si>
  <si>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</si>
  <si>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</si>
  <si>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</si>
  <si>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</si>
  <si>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</si>
  <si>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</si>
  <si>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</si>
  <si>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</si>
  <si>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</si>
  <si>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</si>
  <si>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</si>
  <si>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</si>
  <si>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</si>
  <si>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</si>
  <si>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</si>
  <si>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</si>
  <si>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</si>
  <si>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</si>
  <si>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</si>
  <si>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</si>
  <si>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</si>
  <si>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</si>
  <si>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</si>
  <si>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</si>
  <si>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</si>
  <si>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</si>
  <si>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</si>
  <si>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</si>
  <si>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</si>
  <si>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</si>
  <si>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</si>
  <si>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</si>
  <si>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</si>
  <si>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</si>
  <si>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</si>
  <si>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</si>
  <si>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</si>
  <si>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</si>
  <si>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</si>
  <si>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</si>
  <si>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</si>
  <si>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</si>
  <si>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</si>
  <si>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</si>
  <si>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</si>
  <si>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</si>
  <si>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</si>
  <si>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</si>
  <si>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</si>
  <si>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</si>
  <si>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</si>
  <si>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</si>
  <si>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</si>
  <si>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</si>
  <si>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</si>
  <si>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</si>
  <si>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</si>
  <si>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</si>
  <si>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</si>
  <si>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</si>
  <si>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</si>
  <si>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</si>
  <si>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</si>
  <si>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</si>
  <si>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</si>
  <si>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</si>
  <si>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</si>
  <si>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</si>
  <si>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</si>
  <si>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</si>
  <si>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</si>
  <si>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</si>
  <si>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</si>
  <si>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</si>
  <si>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</si>
  <si>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</si>
  <si>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</si>
  <si>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</si>
  <si>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</si>
  <si>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</si>
  <si>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</si>
  <si>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</si>
  <si>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</si>
  <si>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</si>
  <si>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</si>
  <si>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</si>
  <si>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</si>
  <si>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</si>
  <si>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</si>
  <si>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</si>
  <si>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</si>
  <si>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</si>
  <si>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</si>
  <si>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</si>
  <si>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</si>
  <si>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</si>
  <si>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</si>
  <si>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</si>
  <si>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</si>
  <si>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</si>
  <si>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</si>
  <si>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</si>
  <si>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</si>
  <si>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</si>
  <si>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</si>
  <si>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</si>
  <si>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</si>
  <si>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</si>
  <si>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</si>
  <si>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</si>
  <si>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</si>
  <si>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</si>
  <si>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</si>
  <si>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</si>
  <si>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</si>
  <si>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</si>
  <si>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</si>
  <si>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</si>
  <si>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</si>
  <si>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</si>
  <si>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</si>
  <si>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</si>
  <si>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</si>
  <si>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</si>
  <si>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</si>
  <si>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</si>
  <si>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</si>
  <si>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</si>
  <si>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</si>
  <si>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</si>
  <si>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</si>
  <si>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</si>
  <si>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</si>
  <si>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</si>
  <si>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</si>
  <si>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</si>
  <si>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</si>
  <si>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</si>
  <si>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</si>
  <si>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</si>
  <si>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</si>
  <si>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</si>
  <si>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</si>
  <si>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</si>
  <si>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</si>
  <si>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</si>
  <si>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</si>
  <si>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</si>
  <si>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</si>
  <si>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</si>
  <si>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</si>
  <si>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</si>
  <si>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</si>
  <si>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</si>
  <si>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</si>
  <si>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</si>
  <si>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</si>
  <si>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</si>
  <si>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</si>
  <si>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</si>
  <si>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</si>
  <si>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</si>
  <si>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</si>
  <si>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</si>
  <si>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</si>
  <si>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</si>
  <si>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</si>
  <si>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</si>
  <si>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</si>
  <si>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</si>
  <si>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</si>
  <si>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</si>
  <si>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</si>
  <si>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</si>
  <si>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</si>
  <si>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</si>
  <si>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</si>
  <si>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</si>
  <si>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</si>
  <si>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</si>
  <si>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</si>
  <si>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</si>
  <si>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</si>
  <si>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</si>
  <si>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</si>
  <si>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</si>
  <si>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</si>
  <si>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</si>
  <si>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</si>
  <si>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</si>
  <si>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</si>
  <si>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</si>
  <si>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</si>
  <si>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</si>
  <si>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</si>
  <si>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</si>
  <si>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</si>
  <si>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</si>
  <si>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</si>
  <si>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</si>
  <si>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</si>
  <si>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</si>
  <si>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</si>
  <si>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</si>
  <si>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</si>
  <si>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</si>
  <si>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</si>
  <si>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</si>
  <si>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</si>
  <si>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</si>
  <si>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</si>
  <si>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</si>
  <si>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</si>
  <si>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</si>
  <si>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</si>
  <si>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</si>
  <si>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</si>
  <si>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</si>
  <si>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</si>
  <si>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</si>
  <si>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</si>
  <si>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</si>
  <si>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</si>
  <si>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</si>
  <si>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</si>
  <si>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</si>
  <si>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</si>
  <si>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</si>
  <si>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</si>
  <si>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</si>
  <si>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</si>
  <si>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</si>
  <si>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</si>
  <si>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</si>
  <si>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</si>
  <si>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</si>
  <si>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</si>
  <si>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</si>
  <si>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</si>
  <si>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</si>
  <si>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</si>
  <si>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</si>
  <si>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</si>
  <si>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</si>
  <si>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</si>
  <si>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</si>
  <si>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</si>
  <si>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</si>
  <si>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</si>
  <si>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</si>
  <si>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</si>
  <si>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</si>
  <si>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</si>
  <si>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</si>
  <si>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</si>
  <si>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</si>
  <si>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</si>
  <si>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</si>
  <si>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</si>
  <si>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</si>
  <si>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</si>
  <si>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</si>
  <si>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</si>
  <si>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</si>
  <si>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</si>
  <si>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</si>
  <si>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</si>
  <si>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</si>
  <si>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</si>
  <si>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</si>
  <si>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</si>
  <si>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</si>
  <si>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</si>
  <si>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</si>
  <si>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</si>
  <si>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</si>
  <si>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</si>
  <si>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</si>
  <si>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</si>
  <si>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</si>
  <si>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</si>
  <si>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</si>
  <si>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</si>
  <si>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</si>
  <si>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</si>
  <si>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</si>
  <si>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</si>
  <si>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</si>
  <si>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</si>
  <si>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</si>
  <si>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</si>
  <si>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</si>
  <si>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</si>
  <si>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</si>
  <si>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</si>
  <si>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</si>
  <si>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</si>
  <si>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</si>
  <si>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</si>
  <si>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</si>
  <si>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</si>
  <si>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</si>
  <si>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</si>
  <si>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</si>
  <si>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</si>
  <si>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</si>
  <si>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</si>
  <si>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</si>
  <si>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</si>
  <si>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</si>
  <si>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</si>
  <si>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</si>
  <si>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</si>
  <si>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</si>
  <si>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</si>
  <si>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</si>
  <si>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</si>
  <si>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</si>
  <si>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</si>
  <si>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</si>
  <si>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</si>
  <si>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</si>
  <si>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</si>
  <si>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</si>
  <si>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</si>
  <si>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</si>
  <si>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</si>
  <si>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</si>
  <si>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</si>
  <si>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</si>
  <si>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</si>
  <si>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</si>
  <si>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</si>
  <si>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</si>
  <si>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</si>
  <si>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</si>
  <si>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</si>
  <si>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</si>
  <si>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</si>
  <si>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</si>
  <si>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</si>
  <si>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</si>
  <si>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</si>
  <si>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</si>
  <si>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</si>
  <si>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</si>
  <si>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</si>
  <si>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</si>
  <si>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</si>
  <si>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</si>
  <si>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</si>
  <si>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</si>
  <si>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</si>
  <si>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</si>
  <si>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</si>
  <si>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</si>
  <si>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</si>
  <si>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</si>
  <si>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</si>
  <si>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</si>
  <si>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</si>
  <si>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</si>
  <si>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</si>
  <si>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</si>
  <si>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</si>
  <si>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</si>
  <si>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</si>
  <si>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</si>
  <si>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</si>
  <si>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</si>
  <si>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</si>
  <si>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</si>
  <si>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</si>
  <si>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</si>
  <si>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</si>
  <si>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</si>
  <si>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</si>
  <si>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</si>
  <si>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</si>
  <si>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</si>
  <si>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</si>
  <si>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</si>
  <si>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</si>
  <si>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</si>
  <si>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</si>
  <si>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</si>
  <si>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</si>
  <si>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</si>
  <si>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</si>
  <si>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</si>
  <si>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</si>
  <si>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</si>
  <si>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</si>
  <si>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</si>
  <si>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</si>
  <si>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</si>
  <si>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</si>
  <si>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</si>
  <si>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</si>
  <si>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</si>
  <si>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</si>
  <si>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</si>
  <si>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</si>
  <si>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</si>
  <si>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</si>
  <si>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</si>
  <si>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</si>
  <si>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</si>
  <si>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</si>
  <si>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</si>
  <si>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</si>
  <si>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</si>
  <si>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</si>
  <si>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</si>
  <si>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</si>
  <si>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</si>
  <si>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</si>
  <si>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</si>
  <si>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</si>
  <si>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</si>
  <si>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</si>
  <si>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</si>
  <si>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</si>
  <si>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</si>
  <si>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</si>
  <si>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</si>
  <si>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</si>
  <si>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</si>
  <si>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</si>
  <si>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</si>
  <si>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</si>
  <si>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</si>
  <si>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</si>
  <si>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</si>
  <si>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</si>
  <si>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</si>
  <si>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</si>
  <si>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</si>
  <si>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</si>
  <si>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</si>
  <si>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</si>
  <si>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</si>
  <si>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</si>
  <si>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</si>
  <si>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</si>
  <si>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</si>
  <si>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</si>
  <si>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</si>
  <si>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</si>
  <si>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</si>
  <si>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</si>
  <si>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</si>
  <si>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</si>
  <si>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</si>
  <si>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</si>
  <si>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</si>
  <si>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</si>
  <si>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</si>
  <si>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</si>
  <si>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</si>
  <si>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</si>
  <si>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</si>
  <si>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</si>
  <si>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</si>
  <si>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</si>
  <si>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</si>
  <si>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</si>
  <si>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</si>
  <si>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</si>
  <si>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</si>
  <si>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</si>
  <si>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</si>
  <si>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</si>
  <si>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</si>
  <si>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</si>
  <si>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</si>
  <si>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</si>
  <si>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</si>
  <si>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</si>
  <si>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</si>
  <si>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</si>
  <si>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</si>
  <si>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</si>
  <si>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</si>
  <si>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</si>
  <si>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</si>
  <si>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</si>
  <si>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</si>
  <si>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</si>
  <si>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</si>
  <si>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</si>
  <si>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</si>
  <si>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</si>
  <si>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</si>
  <si>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</si>
  <si>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</si>
  <si>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</si>
  <si>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</si>
  <si>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</si>
  <si>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</si>
  <si>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</si>
  <si>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</si>
  <si>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</si>
  <si>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</si>
  <si>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</si>
  <si>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</si>
  <si>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</si>
  <si>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</si>
  <si>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</si>
  <si>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</si>
  <si>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</si>
  <si>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</si>
  <si>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</si>
  <si>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</si>
  <si>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</si>
  <si>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</si>
  <si>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</si>
  <si>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</si>
  <si>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</si>
  <si>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</si>
  <si>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</si>
  <si>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</si>
  <si>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</si>
  <si>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</si>
  <si>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</si>
  <si>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</si>
  <si>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</si>
  <si>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</si>
  <si>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</si>
  <si>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</si>
  <si>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</si>
  <si>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</si>
  <si>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</si>
  <si>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</si>
  <si>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</si>
  <si>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</si>
  <si>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</si>
  <si>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</si>
  <si>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</si>
  <si>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</si>
  <si>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</si>
  <si>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</si>
  <si>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</si>
  <si>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</si>
  <si>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</si>
  <si>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</si>
  <si>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</si>
  <si>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</si>
  <si>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</si>
  <si>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</si>
  <si>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</si>
  <si>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</si>
  <si>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</si>
  <si>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</si>
  <si>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</si>
  <si>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</si>
  <si>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</si>
  <si>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</si>
  <si>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</si>
  <si>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</si>
  <si>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</si>
  <si>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</si>
  <si>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</si>
  <si>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</si>
  <si>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</si>
  <si>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</si>
  <si>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</si>
  <si>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</si>
  <si>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</si>
  <si>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</si>
  <si>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</si>
  <si>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</si>
  <si>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</si>
  <si>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</si>
  <si>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</si>
  <si>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</si>
  <si>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</si>
  <si>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</si>
  <si>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</si>
  <si>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</si>
  <si>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</si>
  <si>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</si>
  <si>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</si>
  <si>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</si>
  <si>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</si>
  <si>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</si>
  <si>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</si>
  <si>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</si>
  <si>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</si>
  <si>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</si>
  <si>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</si>
  <si>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</si>
  <si>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</si>
  <si>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</si>
  <si>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</si>
  <si>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</si>
  <si>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</si>
  <si>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</si>
  <si>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</si>
  <si>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</si>
  <si>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</si>
  <si>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</si>
  <si>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</si>
  <si>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</si>
  <si>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</si>
  <si>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</si>
  <si>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</si>
  <si>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</si>
  <si>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</si>
  <si>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</si>
  <si>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</si>
  <si>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</si>
  <si>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</si>
  <si>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</si>
  <si>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</si>
  <si>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</si>
  <si>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</si>
  <si>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</si>
  <si>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</si>
  <si>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</si>
  <si>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</si>
  <si>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</si>
  <si>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</si>
  <si>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</si>
  <si>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</si>
  <si>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</si>
  <si>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</si>
  <si>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</si>
  <si>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</si>
  <si>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</si>
  <si>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</si>
  <si>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</si>
  <si>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</si>
  <si>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</si>
  <si>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</si>
  <si>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</si>
  <si>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</si>
  <si>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</si>
  <si>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</si>
  <si>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</si>
  <si>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</si>
  <si>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</si>
  <si>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</si>
  <si>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</si>
  <si>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</si>
  <si>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</si>
  <si>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</si>
  <si>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</si>
  <si>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</si>
  <si>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</si>
  <si>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</si>
  <si>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</si>
  <si>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</si>
  <si>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</si>
  <si>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</si>
  <si>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</si>
  <si>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</si>
  <si>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</si>
  <si>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</si>
  <si>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</si>
  <si>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</si>
  <si>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</si>
  <si>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</si>
  <si>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</si>
  <si>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</si>
  <si>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</si>
  <si>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</si>
  <si>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</si>
  <si>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</si>
  <si>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</si>
  <si>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</si>
  <si>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</si>
  <si>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</si>
  <si>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</si>
  <si>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</si>
  <si>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</si>
  <si>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</si>
  <si>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</si>
  <si>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</si>
  <si>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</si>
  <si>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</si>
  <si>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</si>
  <si>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</si>
  <si>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</si>
  <si>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</si>
  <si>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</si>
  <si>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</si>
  <si>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</si>
  <si>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</si>
  <si>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</si>
  <si>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</si>
  <si>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</si>
  <si>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</si>
  <si>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</si>
  <si>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</si>
  <si>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</si>
  <si>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</si>
  <si>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</si>
  <si>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</si>
  <si>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</si>
  <si>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</si>
  <si>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</si>
  <si>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</si>
  <si>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</si>
  <si>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</si>
  <si>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</si>
  <si>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</si>
  <si>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</si>
  <si>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</si>
  <si>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</si>
  <si>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</si>
  <si>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</si>
  <si>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</si>
  <si>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</si>
  <si>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</si>
  <si>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</si>
  <si>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</si>
  <si>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</si>
  <si>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</si>
  <si>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</si>
  <si>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</si>
  <si>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</si>
  <si>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</si>
  <si>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</si>
  <si>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</si>
  <si>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</si>
  <si>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</si>
  <si>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</si>
  <si>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</si>
  <si>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</si>
  <si>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</si>
  <si>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</si>
  <si>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</si>
  <si>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</si>
  <si>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</si>
  <si>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</si>
  <si>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</si>
  <si>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</si>
  <si>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</si>
  <si>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</si>
  <si>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</si>
  <si>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</si>
  <si>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</si>
  <si>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</si>
  <si>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</si>
  <si>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</si>
  <si>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</si>
  <si>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</si>
  <si>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</si>
  <si>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</si>
  <si>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</si>
  <si>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</si>
  <si>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</si>
  <si>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</si>
  <si>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</si>
  <si>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</si>
  <si>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</si>
  <si>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</si>
  <si>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</si>
  <si>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</si>
  <si>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</si>
  <si>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</si>
  <si>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</si>
  <si>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</si>
  <si>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</si>
  <si>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</si>
  <si>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</si>
  <si>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</si>
  <si>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</si>
  <si>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</si>
  <si>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</si>
  <si>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</si>
  <si>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</si>
  <si>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</si>
  <si>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</si>
  <si>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</si>
  <si>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</si>
  <si>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</si>
  <si>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</si>
  <si>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</si>
  <si>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</si>
  <si>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</si>
  <si>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</si>
  <si>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</si>
  <si>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</si>
  <si>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</si>
  <si>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</si>
  <si>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</si>
  <si>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</si>
  <si>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</si>
  <si>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</si>
  <si>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</si>
  <si>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</si>
  <si>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</si>
  <si>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</si>
  <si>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</si>
  <si>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</si>
  <si>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</si>
  <si>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</si>
  <si>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</si>
  <si>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</si>
  <si>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</si>
  <si>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</si>
  <si>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</si>
  <si>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</si>
  <si>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</si>
  <si>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</si>
  <si>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</si>
  <si>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</si>
  <si>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</si>
  <si>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</si>
  <si>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</si>
  <si>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</si>
  <si>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</si>
  <si>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</si>
  <si>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</si>
  <si>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</si>
  <si>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</si>
  <si>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</si>
  <si>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</si>
  <si>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</si>
  <si>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</si>
  <si>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</si>
  <si>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</si>
  <si>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</si>
  <si>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</si>
  <si>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</si>
  <si>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</si>
  <si>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</si>
  <si>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</si>
  <si>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</si>
  <si>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</si>
  <si>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</si>
  <si>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</si>
  <si>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</si>
  <si>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</si>
  <si>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</si>
  <si>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</si>
  <si>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</si>
  <si>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</si>
  <si>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</si>
  <si>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</si>
  <si>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</si>
  <si>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</si>
  <si>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</si>
  <si>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</si>
  <si>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</si>
  <si>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</si>
  <si>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</si>
  <si>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</si>
  <si>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</si>
  <si>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</si>
  <si>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</si>
  <si>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</si>
  <si>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</si>
  <si>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</si>
  <si>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</si>
  <si>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</si>
  <si>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</si>
  <si>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</si>
  <si>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</si>
  <si>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</si>
  <si>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</si>
  <si>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</si>
  <si>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</si>
  <si>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</si>
  <si>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</si>
  <si>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</si>
  <si>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</si>
  <si>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</si>
  <si>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</si>
  <si>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</si>
  <si>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</si>
  <si>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</si>
  <si>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</si>
  <si>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</si>
  <si>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</si>
  <si>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</si>
  <si>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</si>
  <si>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</si>
  <si>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</si>
  <si>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</si>
  <si>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</si>
  <si>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</si>
  <si>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</si>
  <si>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</si>
  <si>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</si>
  <si>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</si>
  <si>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</si>
  <si>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</si>
  <si>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</si>
  <si>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</si>
  <si>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</si>
  <si>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</si>
  <si>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</si>
  <si>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</si>
  <si>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</si>
  <si>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</si>
  <si>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</si>
  <si>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</si>
  <si>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</si>
  <si>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</si>
  <si>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</si>
  <si>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</si>
  <si>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</si>
  <si>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</si>
  <si>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</si>
  <si>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</si>
  <si>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</si>
  <si>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</si>
  <si>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</si>
  <si>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</si>
  <si>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</si>
  <si>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</si>
  <si>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</si>
  <si>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</si>
  <si>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</si>
  <si>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</si>
  <si>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ECHEZ</t>
  </si>
  <si>
    <t xml:space="preserve">L'Echez à Maubourguet</t>
  </si>
  <si>
    <t xml:space="preserve">(Date)</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</si>
  <si>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</si>
  <si>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</si>
  <si>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</si>
  <si>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</si>
  <si>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</si>
  <si>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</si>
  <si>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</si>
  <si>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</si>
  <si>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</si>
  <si>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</si>
  <si>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</si>
  <si>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</si>
  <si>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</si>
  <si>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</si>
  <si>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</si>
  <si>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</si>
  <si>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</si>
  <si>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</si>
  <si>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</si>
  <si>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</si>
  <si>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</si>
  <si>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</si>
  <si>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</si>
  <si>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</si>
  <si>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</si>
  <si>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</si>
  <si>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</si>
  <si>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</si>
  <si>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</si>
  <si>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</si>
  <si>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</si>
  <si>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</si>
  <si>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</si>
  <si>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</si>
  <si>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</si>
  <si>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</si>
  <si>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</si>
  <si>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</si>
  <si>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</si>
  <si>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</si>
  <si>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</si>
  <si>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</si>
  <si>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</si>
  <si>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</si>
  <si>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</si>
  <si>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</si>
  <si>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</si>
  <si>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</si>
  <si>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</si>
  <si>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</si>
  <si>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</si>
  <si>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</si>
  <si>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</si>
  <si>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</si>
  <si>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</si>
  <si>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</si>
  <si>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</si>
  <si>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</si>
  <si>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</si>
  <si>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</si>
  <si>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</si>
  <si>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</si>
  <si>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</si>
  <si>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</si>
  <si>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</si>
  <si>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</si>
  <si>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</si>
  <si>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</si>
  <si>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</si>
  <si>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</si>
  <si>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</si>
  <si>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</si>
  <si>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</si>
  <si>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</si>
  <si>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</si>
  <si>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</si>
  <si>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</si>
  <si>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</si>
  <si>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</si>
  <si>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</si>
  <si>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</si>
  <si>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AQUABIO</t>
  </si>
  <si>
    <t xml:space="preserve">Aurélie JOSSET, Majlis DURAND</t>
  </si>
  <si>
    <t xml:space="preserve">05234020</t>
  </si>
  <si>
    <t xml:space="preserve">radier</t>
  </si>
  <si>
    <t xml:space="preserve">pl. lent</t>
  </si>
  <si>
    <t xml:space="preserve">moyen</t>
  </si>
  <si>
    <t xml:space="preserve">élevé</t>
  </si>
  <si>
    <t xml:space="preserve">NEWCOD</t>
  </si>
  <si>
    <t xml:space="preserve">Cyperaceae</t>
  </si>
  <si>
    <t xml:space="preserve">Référence des noms taxons</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</si>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</sst>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tru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t="s">
        <v>3371</v>
      </c>
      <c r="B9" s="226" t="s">
        <v>3372</v>
      </c>
      <c r="C9" s="227" t="s">
        <v>3373</v>
      </c>
      <c r="D9" s="228" t="n">
        <v>10.02</v>
      </c>
      <c r="E9" s="229" t="n">
        <v>35</v>
      </c>
      <c r="F9" s="230" t="n">
        <v>27</v>
      </c>
      <c r="G9" s="231" t="n">
        <v>12</v>
      </c>
      <c r="H9" s="232" t="n">
        <v>15</v>
      </c>
      <c r="I9" s="230" t="n">
        <v>0</v>
      </c>
      <c r="J9" s="233" t="n">
        <v>9.96296296296296</v>
      </c>
      <c r="K9" s="234" t="n">
        <v>2.80847238668576</v>
      </c>
      <c r="L9" s="235" t="n">
        <v>4</v>
      </c>
      <c r="M9" s="236" t="n">
        <v>15</v>
      </c>
      <c r="N9" s="237" t="n">
        <v>1.55555555555556</v>
      </c>
      <c r="O9" s="234" t="n">
        <v>0.496903994999953</v>
      </c>
      <c r="P9" s="235" t="n">
        <v>1</v>
      </c>
      <c r="Q9" s="236" t="n">
        <v>2</v>
      </c>
      <c r="R9" s="238" t="n">
        <v>2.63186669575982</v>
      </c>
      <c r="S9" s="239" t="n">
        <v>0</v>
      </c>
      <c r="T9" s="235" t="n">
        <v>10</v>
      </c>
      <c r="U9" s="235" t="n">
        <v>7</v>
      </c>
      <c r="V9" s="235" t="n">
        <v>17</v>
      </c>
      <c r="W9" s="236" t="n">
        <v>17</v>
      </c>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59" t="s">
        <v>3375</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3376</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73" t="s">
        <v>3377</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3376</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3379</v>
      </c>
      <c r="B2" s="286"/>
      <c r="C2" s="287" t="s">
        <v>3380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3381</v>
      </c>
      <c r="B3" s="286"/>
      <c r="C3" s="285" t="s">
        <v>3382</v>
      </c>
      <c r="D3" s="296"/>
      <c r="E3" s="296"/>
      <c r="F3" s="297"/>
      <c r="G3" s="297"/>
      <c r="H3" s="296"/>
      <c r="I3" s="281"/>
      <c r="J3" s="288"/>
      <c r="K3" s="298"/>
      <c r="L3" s="299" t="s">
        <v>3383</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367</v>
      </c>
      <c r="C4" s="306"/>
      <c r="D4" s="307"/>
      <c r="E4" s="307"/>
      <c r="F4" s="306"/>
      <c r="G4" s="308"/>
      <c r="H4" s="307"/>
      <c r="I4" s="281"/>
      <c r="J4" s="309" t="s">
        <v>3385</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3389</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3391</v>
      </c>
      <c r="B7" s="341"/>
      <c r="C7" s="342"/>
      <c r="D7" s="330"/>
      <c r="E7" s="330"/>
      <c r="F7" s="343" t="n">
        <f aca="false">B7+C7</f>
        <v>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str">
        <f aca="false">IF(ISERROR(AVERAGE(J23:J82))," ",AVERAGE(J23:J82))</f>
        <v> </v>
      </c>
      <c r="P8" s="356" t="str">
        <f aca="false">IF(ISERROR(AVERAGE(K23:K82)),"  ",AVERAGE(K23:K82))</f>
        <v>  </v>
      </c>
      <c r="Q8" s="357"/>
      <c r="R8" s="281"/>
      <c r="S8" s="281"/>
      <c r="T8" s="281"/>
      <c r="U8" s="281"/>
      <c r="V8" s="281"/>
      <c r="W8" s="295"/>
      <c r="X8" s="0"/>
      <c r="Y8" s="0"/>
      <c r="Z8" s="0"/>
    </row>
    <row r="9" customFormat="false" ht="12.75" hidden="false" customHeight="false" outlineLevel="0" collapsed="false">
      <c r="A9" s="314" t="s">
        <v>3397</v>
      </c>
      <c r="B9" s="358"/>
      <c r="C9" s="359"/>
      <c r="D9" s="360"/>
      <c r="E9" s="360"/>
      <c r="F9" s="361" t="n">
        <f aca="false">($B9*$B$7+$C9*$C$7)/100</f>
        <v>0</v>
      </c>
      <c r="G9" s="362"/>
      <c r="H9" s="317"/>
      <c r="I9" s="281"/>
      <c r="J9" s="363"/>
      <c r="K9" s="364"/>
      <c r="L9" s="347"/>
      <c r="M9" s="365"/>
      <c r="N9" s="355" t="s">
        <v>3398</v>
      </c>
      <c r="O9" s="356" t="str">
        <f aca="false">IF(ISERROR(STDEVP(J23:J82))," ",STDEVP(J23:J82))</f>
        <v> </v>
      </c>
      <c r="P9" s="356" t="str">
        <f aca="false">IF(ISERROR(STDEVP(K23:K82)),"  ",STDEVP(K23:K82))</f>
        <v>  </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0</v>
      </c>
      <c r="P10" s="372" t="n">
        <f aca="false">MIN(K23:K82)</f>
        <v>0</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0</v>
      </c>
      <c r="P11" s="372" t="n">
        <f aca="false">MAX(K23:K82)</f>
        <v>0</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0</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0</v>
      </c>
      <c r="M13" s="381"/>
      <c r="N13" s="389" t="s">
        <v>3409</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0</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0</v>
      </c>
      <c r="M15" s="381"/>
      <c r="N15" s="389" t="s">
        <v>3415</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str">
        <f aca="false">IF(ISERROR((O13-(COUNTIF(J23:J82,"nc")))/O13),"-",(O13-(COUNTIF(J23:J82,"nc")))/O13)</f>
        <v>-</v>
      </c>
      <c r="N17" s="389" t="s">
        <v>3420</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0</v>
      </c>
      <c r="C20" s="433" t="n">
        <f aca="false">SUM(C23:C82)</f>
        <v>0</v>
      </c>
      <c r="D20" s="434"/>
      <c r="E20" s="435" t="s">
        <v>3422</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0</v>
      </c>
      <c r="C21" s="444" t="n">
        <f aca="false">C20*C7/100</f>
        <v>0</v>
      </c>
      <c r="D21" s="445" t="s">
        <v>3425</v>
      </c>
      <c r="E21" s="446"/>
      <c r="F21" s="447" t="n">
        <f aca="false">B21+C21</f>
        <v>0</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c r="B23" s="472"/>
      <c r="C23" s="473"/>
      <c r="D23" s="474" t="str">
        <f aca="false">IF(ISERROR(VLOOKUP($A23,'liste reference'!$A$6:$B$1174,2,0)),IF(ISERROR(VLOOKUP($A23,'liste reference'!$B$6:$B$1174,1,0)),"",VLOOKUP($A23,'liste reference'!$B$6:$B$1174,1,0)),VLOOKUP($A23,'liste reference'!$A$6:$B$1174,2,0))</f>
        <v/>
      </c>
      <c r="E23" s="475" t="n">
        <f aca="false">IF(D23="",0,VLOOKUP(D23,D$22:D22,1,0))</f>
        <v>0</v>
      </c>
      <c r="F23" s="476" t="str">
        <f aca="false">IF(AND(OR(A23="",A23="!!!!!!"),B23="",C23=""),"",IF(OR(AND(B23="",C23=""),ISERROR(C23+B23)),"!!!",($B23*$B$7+$C23*$C$7)/100))</f>
        <v/>
      </c>
      <c r="G23" s="477" t="str">
        <f aca="false">IF(A23="","",IF(ISERROR(VLOOKUP($A23,'liste reference'!$A$6:$Q$1174,9,0)),IF(ISERROR(VLOOKUP($A23,'liste reference'!$B$6:$Q$1174,8,0)),"    -",VLOOKUP($A23,'liste reference'!$B$6:$Q$1174,8,0)),VLOOKUP($A23,'liste reference'!$A$6:$Q$1174,9,0)))</f>
        <v/>
      </c>
      <c r="H23" s="478" t="str">
        <f aca="false">IF(A23="","x",IF(ISERROR(VLOOKUP($A23,'liste reference'!$A$6:$Q$1174,10,0)),IF(ISERROR(VLOOKUP($A23,'liste reference'!$B$6:$Q$1174,9,0)),"x",VLOOKUP($A23,'liste reference'!$B$6:$Q$1174,9,0)),VLOOKUP($A23,'liste reference'!$A$6:$Q$1174,10,0)))</f>
        <v>x</v>
      </c>
      <c r="I23" s="281" t="str">
        <f aca="false">IF(A23="","",1)</f>
        <v/>
      </c>
      <c r="J23" s="479" t="str">
        <f aca="false">IF(ISNUMBER($H23),IF(ISERROR(VLOOKUP($A23,'liste reference'!$A$6:$Q$1174,6,0)),IF(ISERROR(VLOOKUP($A23,'liste reference'!$B$6:$Q$1174,5,0)),"nu",VLOOKUP($A23,'liste reference'!$B$6:$Q$1174,5,0)),VLOOKUP($A23,'liste reference'!$A$6:$Q$1174,6,0)),"nu")</f>
        <v>nu</v>
      </c>
      <c r="K23" s="479" t="str">
        <f aca="false">IF(ISNUMBER($H23),IF(ISERROR(VLOOKUP($A23,'liste reference'!$A$6:$Q$1174,7,0)),IF(ISERROR(VLOOKUP($A23,'liste reference'!$B$6:$Q$1174,6,0)),"nu",VLOOKUP($A23,'liste reference'!$B$6:$Q$1174,6,0)),VLOOKUP($A23,'liste reference'!$A$6:$Q$1174,7,0)),"nu")</f>
        <v>nu</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1"/>
      <c r="N23" s="481"/>
      <c r="O23" s="481"/>
      <c r="P23" s="482" t="s">
        <v>3445</v>
      </c>
      <c r="Q23" s="483" t="str">
        <f aca="false">IF(OR($A23="NEWCOD",$A23="!!!!!!"),IF(X23="","NoCod",X23),IF($A23="","",IF(ISERROR(VLOOKUP($A23,'liste reference'!$A$6:$H$1174,8,0)),IF(ISERROR(VLOOKUP($A23,'liste reference'!$B$6:$H$1174,7,0)),"",VLOOKUP($A23,'liste reference'!$B$6:$H$1174,7,0)),VLOOKUP($A23,'liste reference'!$A$6:$H$1174,8,0))))</f>
        <v/>
      </c>
      <c r="R23" s="484" t="str">
        <f aca="false">IF(ISTEXT(H23),"",(B23*$B$7/100)+(C23*$C$7/100))</f>
        <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
      </c>
      <c r="Z23" s="470" t="str">
        <f aca="false">IF(ISERROR(MATCH(A23,'liste reference'!$A$6:$A$1174,0)),IF(ISERROR(MATCH(A23,'liste reference'!$B$6:$B$1174,0)),"",(MATCH(A23,'liste reference'!$B$6:$B$1174,0))),(MATCH(A23,'liste reference'!$A$6:$A$1174,0)))</f>
        <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3445</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3445</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3445</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3445</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3445</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3445</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3445</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3445</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3445</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3445</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3445</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3445</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3445</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3445</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3445</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3445</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3445</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3445</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3445</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3445</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3445</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3445</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3445</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3445</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3445</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3445</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3445</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3445</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3445</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3445</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3445</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3445</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3445</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3445</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0</v>
      </c>
      <c r="G84" s="453" t="n">
        <f aca="false">O15</f>
        <v>0</v>
      </c>
      <c r="H84" s="453" t="n">
        <f aca="false">O16</f>
        <v>0</v>
      </c>
      <c r="I84" s="453" t="n">
        <f aca="false">O17</f>
        <v>0</v>
      </c>
      <c r="J84" s="528" t="str">
        <f aca="false">O8</f>
        <v> </v>
      </c>
      <c r="K84" s="529" t="str">
        <f aca="false">O9</f>
        <v> </v>
      </c>
      <c r="L84" s="530" t="n">
        <f aca="false">O10</f>
        <v>0</v>
      </c>
      <c r="M84" s="530" t="n">
        <f aca="false">O11</f>
        <v>0</v>
      </c>
      <c r="N84" s="529" t="str">
        <f aca="false">P8</f>
        <v>  </v>
      </c>
      <c r="O84" s="529" t="str">
        <f aca="false">P9</f>
        <v>  </v>
      </c>
      <c r="P84" s="530" t="n">
        <f aca="false">P10</f>
        <v>0</v>
      </c>
      <c r="Q84" s="530" t="n">
        <f aca="false">P11</f>
        <v>0</v>
      </c>
      <c r="R84" s="530" t="n">
        <f aca="false">F21</f>
        <v>0</v>
      </c>
      <c r="S84" s="530" t="n">
        <f aca="false">L11</f>
        <v>0</v>
      </c>
      <c r="T84" s="530" t="n">
        <f aca="false">L12</f>
        <v>0</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e">
        <f aca="false">VLOOKUP($T$91,($A$23:$U$82),20,0)</f>
        <v>#N/A</v>
      </c>
      <c r="U87" s="281"/>
      <c r="V87" s="281"/>
    </row>
    <row r="88" customFormat="false" ht="12.75" hidden="true" customHeight="false" outlineLevel="0" collapsed="false">
      <c r="C88" s="534"/>
      <c r="D88" s="534"/>
      <c r="E88" s="534"/>
      <c r="R88" s="281" t="s">
        <v>3448</v>
      </c>
      <c r="S88" s="281"/>
      <c r="T88" s="536" t="e">
        <f aca="false">VLOOKUP($T$91,($A$23:$U$82),21,0)</f>
        <v>#N/A</v>
      </c>
      <c r="U88" s="281"/>
      <c r="V88" s="281" t="n">
        <f aca="false">COUNTIF(V23:V82,T89)</f>
        <v>60</v>
      </c>
    </row>
    <row r="89" customFormat="false" ht="12.75" hidden="true" customHeight="false" outlineLevel="0" collapsed="false">
      <c r="C89" s="534"/>
      <c r="D89" s="534"/>
      <c r="E89" s="534"/>
      <c r="R89" s="281" t="s">
        <v>3449</v>
      </c>
      <c r="S89" s="281"/>
      <c r="T89" s="536" t="n">
        <f aca="false">MAX($V$23:$V$82)</f>
        <v>0</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3452</v>
      </c>
      <c r="S91" s="485"/>
      <c r="T91" s="485" t="e">
        <f aca="false">INDEX('liste reference'!$A$6:$A$1174,$U$91)</f>
        <v>#N/A</v>
      </c>
      <c r="U91" s="281" t="e">
        <f aca="false">IF(ISERROR(MATCH($T$93,'liste reference'!$A$6:$A$1174,0)),MATCH($T$93,'liste reference'!$B$6:$B$1174,0),(MATCH($T$93,'liste reference'!$A$6:$A$1174,0)))</f>
        <v>#N/A</v>
      </c>
      <c r="V91" s="538"/>
    </row>
    <row r="92" customFormat="false" ht="12.75" hidden="true" customHeight="false" outlineLevel="0" collapsed="false">
      <c r="C92" s="534"/>
      <c r="D92" s="534"/>
      <c r="E92" s="534"/>
      <c r="R92" s="281" t="s">
        <v>3453</v>
      </c>
      <c r="S92" s="281"/>
      <c r="T92" s="281" t="n">
        <f aca="false">MATCH(T89,$V$23:$V$82,0)</f>
        <v>1</v>
      </c>
      <c r="U92" s="281"/>
    </row>
    <row r="93" customFormat="false" ht="12.75" hidden="true" customHeight="false" outlineLevel="0" collapsed="false">
      <c r="C93" s="534"/>
      <c r="D93" s="534"/>
      <c r="E93" s="534"/>
      <c r="R93" s="485" t="s">
        <v>3454</v>
      </c>
      <c r="S93" s="281"/>
      <c r="T93" s="485" t="n">
        <f aca="false">INDEX($A$23:$A$82,$T$92)</f>
        <v>0</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3455</v>
      </c>
      <c r="B2" s="286"/>
      <c r="C2" s="287" t="s">
        <v>3456</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3371</v>
      </c>
      <c r="B3" s="286"/>
      <c r="C3" s="285" t="s">
        <v>3372</v>
      </c>
      <c r="D3" s="296"/>
      <c r="E3" s="296"/>
      <c r="F3" s="297"/>
      <c r="G3" s="297"/>
      <c r="H3" s="296"/>
      <c r="I3" s="281"/>
      <c r="J3" s="288"/>
      <c r="K3" s="298"/>
      <c r="L3" s="299" t="s">
        <v>3457</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42619</v>
      </c>
      <c r="C4" s="306"/>
      <c r="D4" s="307"/>
      <c r="E4" s="307"/>
      <c r="F4" s="306"/>
      <c r="G4" s="308"/>
      <c r="H4" s="307"/>
      <c r="I4" s="281"/>
      <c r="J4" s="309" t="s">
        <v>3385</v>
      </c>
      <c r="K4" s="310"/>
      <c r="L4" s="310"/>
      <c r="M4" s="311"/>
      <c r="N4" s="311"/>
      <c r="O4" s="312" t="s">
        <v>3451</v>
      </c>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t="n">
        <v>10.02</v>
      </c>
      <c r="N5" s="324"/>
      <c r="O5" s="325" t="s">
        <v>195</v>
      </c>
      <c r="P5" s="326" t="n">
        <v>9.58695652173913</v>
      </c>
      <c r="Q5" s="327"/>
      <c r="R5" s="281"/>
      <c r="S5" s="281"/>
      <c r="T5" s="281"/>
      <c r="U5" s="281"/>
      <c r="V5" s="281"/>
      <c r="W5" s="295"/>
      <c r="X5" s="0"/>
      <c r="Y5" s="0"/>
      <c r="Z5" s="0"/>
    </row>
    <row r="6" customFormat="false" ht="13.5" hidden="false" customHeight="false" outlineLevel="0" collapsed="false">
      <c r="A6" s="314" t="s">
        <v>3389</v>
      </c>
      <c r="B6" s="328" t="s">
        <v>3458</v>
      </c>
      <c r="C6" s="329" t="s">
        <v>3459</v>
      </c>
      <c r="D6" s="330"/>
      <c r="E6" s="330"/>
      <c r="F6" s="331"/>
      <c r="G6" s="319"/>
      <c r="H6" s="317"/>
      <c r="I6" s="281"/>
      <c r="J6" s="332"/>
      <c r="K6" s="333"/>
      <c r="L6" s="334" t="s">
        <v>3390</v>
      </c>
      <c r="M6" s="335" t="s">
        <v>3460</v>
      </c>
      <c r="N6" s="336"/>
      <c r="O6" s="337" t="n">
        <v>3</v>
      </c>
      <c r="P6" s="338" t="s">
        <v>3461</v>
      </c>
      <c r="Q6" s="339"/>
      <c r="R6" s="281"/>
      <c r="S6" s="281"/>
      <c r="T6" s="281"/>
      <c r="U6" s="281"/>
      <c r="V6" s="281"/>
      <c r="W6" s="295"/>
      <c r="X6" s="0"/>
      <c r="Y6" s="0"/>
      <c r="Z6" s="0"/>
    </row>
    <row r="7" customFormat="false" ht="12.75" hidden="false" customHeight="false" outlineLevel="0" collapsed="false">
      <c r="A7" s="340" t="s">
        <v>3391</v>
      </c>
      <c r="B7" s="341" t="n">
        <v>51</v>
      </c>
      <c r="C7" s="342" t="n">
        <v>49</v>
      </c>
      <c r="D7" s="330"/>
      <c r="E7" s="330"/>
      <c r="F7" s="343" t="n">
        <f aca="false">B7+C7</f>
        <v>100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n">
        <f aca="false">IF(ISERROR(AVERAGE(J23:J82))," ",AVERAGE(J23:J82))</f>
        <v>9.96296296296296</v>
      </c>
      <c r="P8" s="356" t="n">
        <f aca="false">IF(ISERROR(AVERAGE(K23:K82)),"  ",AVERAGE(K23:K82))</f>
        <v>1.55555555555556</v>
      </c>
      <c r="Q8" s="357"/>
      <c r="R8" s="281"/>
      <c r="S8" s="281"/>
      <c r="T8" s="281"/>
      <c r="U8" s="281"/>
      <c r="V8" s="281"/>
      <c r="W8" s="295"/>
      <c r="X8" s="0"/>
      <c r="Y8" s="0"/>
      <c r="Z8" s="0"/>
    </row>
    <row r="9" customFormat="false" ht="12.75" hidden="false" customHeight="false" outlineLevel="0" collapsed="false">
      <c r="A9" s="314" t="s">
        <v>3397</v>
      </c>
      <c r="B9" s="358" t="n">
        <v>4</v>
      </c>
      <c r="C9" s="359" t="n">
        <v>0.699999988079071</v>
      </c>
      <c r="D9" s="360"/>
      <c r="E9" s="360"/>
      <c r="F9" s="361" t="n">
        <f aca="false">($B9*$B$7+$C9*$C$7)/100</f>
        <v>2.38299999415875</v>
      </c>
      <c r="G9" s="362"/>
      <c r="H9" s="317"/>
      <c r="I9" s="281"/>
      <c r="J9" s="363"/>
      <c r="K9" s="364"/>
      <c r="L9" s="347"/>
      <c r="M9" s="365"/>
      <c r="N9" s="355" t="s">
        <v>3398</v>
      </c>
      <c r="O9" s="356" t="n">
        <f aca="false">IF(ISERROR(STDEVP(J23:J82))," ",STDEVP(J23:J82))</f>
        <v>2.80847238668576</v>
      </c>
      <c r="P9" s="356" t="n">
        <f aca="false">IF(ISERROR(STDEVP(K23:K82)),"  ",STDEVP(K23:K82))</f>
        <v>0.496903994999953</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10</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7</v>
      </c>
      <c r="M13" s="381"/>
      <c r="N13" s="389" t="s">
        <v>3409</v>
      </c>
      <c r="O13" s="390" t="n">
        <f aca="false">COUNTIF(F23:F82,"&gt;0")</f>
        <v>35</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27</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17</v>
      </c>
      <c r="M15" s="381"/>
      <c r="N15" s="389" t="s">
        <v>3415</v>
      </c>
      <c r="O15" s="390" t="n">
        <f aca="false">COUNTIF(K23:K82,"=1")</f>
        <v>12</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15</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n">
        <f aca="false">IF(ISERROR((O13-(COUNTIF(J23:J82,"nc")))/O13),"-",(O13-(COUNTIF(J23:J82,"nc")))/O13)</f>
        <v>0.8</v>
      </c>
      <c r="N17" s="389" t="s">
        <v>3420</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4.24777783732861</v>
      </c>
      <c r="C20" s="433" t="n">
        <f aca="false">SUM(C23:C82)</f>
        <v>0.949999997392297</v>
      </c>
      <c r="D20" s="434"/>
      <c r="E20" s="435" t="s">
        <v>3422</v>
      </c>
      <c r="F20" s="436" t="n">
        <f aca="false">($B20*$B$7+$C20*$C$7)/100</f>
        <v>2.63186669575982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2.16636669703759</v>
      </c>
      <c r="C21" s="444" t="n">
        <f aca="false">C20*C7/100</f>
        <v>0.465499998722225</v>
      </c>
      <c r="D21" s="445" t="s">
        <v>3425</v>
      </c>
      <c r="E21" s="446"/>
      <c r="F21" s="447" t="n">
        <f aca="false">B21+C21</f>
        <v>2.63186669575982</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t="s">
        <v>395</v>
      </c>
      <c r="B23" s="472" t="n">
        <v>0.00999999977648258</v>
      </c>
      <c r="C23" s="473" t="n">
        <v>0</v>
      </c>
      <c r="D23" s="474" t="str">
        <f aca="false">IF(ISERROR(VLOOKUP($A23,'liste reference'!$A$6:$B$1174,2,0)),IF(ISERROR(VLOOKUP($A23,'liste reference'!$B$6:$B$1174,1,0)),"",VLOOKUP($A23,'liste reference'!$B$6:$B$1174,1,0)),VLOOKUP($A23,'liste reference'!$A$6:$B$1174,2,0))</f>
        <v>Vaucheria sp.</v>
      </c>
      <c r="E23" s="475" t="e">
        <f aca="false">IF(D23="",0,VLOOKUP(D23,D$22:D22,1,0))</f>
        <v>#N/A</v>
      </c>
      <c r="F23" s="476" t="n">
        <f aca="false">IF(AND(OR(A23="",A23="!!!!!!"),B23="",C23=""),"",IF(OR(AND(B23="",C23=""),ISERROR(C23+B23)),"!!!",($B23*$B$7+$C23*$C$7)/100))</f>
        <v>0.00509999988600612</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4</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Vaucheria sp.</v>
      </c>
      <c r="M23" s="481"/>
      <c r="N23" s="481"/>
      <c r="O23" s="481"/>
      <c r="P23" s="482" t="s">
        <v>3445</v>
      </c>
      <c r="Q23" s="483" t="n">
        <f aca="false">IF(OR($A23="NEWCOD",$A23="!!!!!!"),IF(X23="","NoCod",X23),IF($A23="","",IF(ISERROR(VLOOKUP($A23,'liste reference'!$A$6:$H$1174,8,0)),IF(ISERROR(VLOOKUP($A23,'liste reference'!$B$6:$H$1174,7,0)),"",VLOOKUP($A23,'liste reference'!$B$6:$H$1174,7,0)),VLOOKUP($A23,'liste reference'!$A$6:$H$1174,8,0))))</f>
        <v>1169</v>
      </c>
      <c r="R23" s="484" t="n">
        <f aca="false">IF(ISTEXT(H23),"",(B23*$B$7/100)+(C23*$C$7/100))</f>
        <v>0.00509999988600612</v>
      </c>
      <c r="S23" s="485" t="n">
        <f aca="false">IF(OR(ISTEXT(H23),R23=0),"",IF(R23&lt;0.1,1,IF(R23&lt;1,2,IF(R23&lt;10,3,IF(R23&lt;50,4,IF(R23&gt;=50,5,""))))))</f>
        <v>1</v>
      </c>
      <c r="T23" s="485" t="n">
        <f aca="false">IF(ISERROR(S23*J23),0,S23*J23)</f>
        <v>4</v>
      </c>
      <c r="U23" s="485" t="n">
        <f aca="false">IF(ISERROR(S23*J23*K23),0,S23*J23*K23)</f>
        <v>4</v>
      </c>
      <c r="V23" s="485" t="n">
        <f aca="false">IF(ISERROR(S23*K23),0,S23*K23)</f>
        <v>1</v>
      </c>
      <c r="W23" s="486"/>
      <c r="X23" s="487"/>
      <c r="Y23" s="488" t="str">
        <f aca="false">IF(AND(ISNUMBER(F23),OR(A23="",A23="!!!!!!")),"!!!!!!",IF(A23="new.cod","NEWCOD",IF(AND((Z23=""),ISTEXT(A23),A23&lt;&gt;"!!!!!!"),A23,IF(Z23="","",INDEX('liste reference'!$A$6:$A$1174,Z23)))))</f>
        <v>VAUSPX</v>
      </c>
      <c r="Z23" s="470" t="n">
        <f aca="false">IF(ISERROR(MATCH(A23,'liste reference'!$A$6:$A$1174,0)),IF(ISERROR(MATCH(A23,'liste reference'!$B$6:$B$1174,0)),"",(MATCH(A23,'liste reference'!$B$6:$B$1174,0))),(MATCH(A23,'liste reference'!$A$6:$A$1174,0)))</f>
        <v>118</v>
      </c>
    </row>
    <row r="24" customFormat="false" ht="12.75" hidden="false" customHeight="false" outlineLevel="0" collapsed="false">
      <c r="A24" s="489" t="s">
        <v>974</v>
      </c>
      <c r="B24" s="490" t="n">
        <v>1.61000001430511</v>
      </c>
      <c r="C24" s="491" t="n">
        <v>0.00999999977648258</v>
      </c>
      <c r="D24" s="492" t="str">
        <f aca="false">IF(ISERROR(VLOOKUP($A24,'liste reference'!$A$6:$B$1174,2,0)),IF(ISERROR(VLOOKUP($A24,'liste reference'!$B$6:$B$1174,1,0)),"",VLOOKUP($A24,'liste reference'!$B$6:$B$1174,1,0)),VLOOKUP($A24,'liste reference'!$A$6:$B$1174,2,0))</f>
        <v>Leptodictyum riparium </v>
      </c>
      <c r="E24" s="493" t="e">
        <f aca="false">IF(D24="",0,VLOOKUP(D24,D$22:D23,1,0))</f>
        <v>#N/A</v>
      </c>
      <c r="F24" s="494" t="n">
        <f aca="false">IF(AND(OR(A24="",A24="!!!!!!"),B24="",C24=""),"",IF(OR(AND(B24="",C24=""),ISERROR(C24+B24)),"!!!",($B24*$B$7+$C24*$C$7)/100))</f>
        <v>0.826000007186085</v>
      </c>
      <c r="G24" s="495" t="str">
        <f aca="false">IF(A24="","",IF(ISERROR(VLOOKUP($A24,'liste reference'!$A$6:$Q$1174,9,0)),IF(ISERROR(VLOOKUP($A24,'liste reference'!$B$6:$Q$1174,8,0)),"    -",VLOOKUP($A24,'liste reference'!$B$6:$Q$1174,8,0)),VLOOKUP($A24,'liste reference'!$A$6:$Q$1174,9,0)))</f>
        <v>BRm</v>
      </c>
      <c r="H24" s="496" t="n">
        <f aca="false">IF(A24="","x",IF(ISERROR(VLOOKUP($A24,'liste reference'!$A$6:$Q$1174,10,0)),IF(ISERROR(VLOOKUP($A24,'liste reference'!$B$6:$Q$1174,9,0)),"x",VLOOKUP($A24,'liste reference'!$B$6:$Q$1174,9,0)),VLOOKUP($A24,'liste reference'!$A$6:$Q$1174,10,0)))</f>
        <v>5</v>
      </c>
      <c r="I24" s="281" t="n">
        <f aca="false">IF(A24="","",1)</f>
        <v>1</v>
      </c>
      <c r="J24" s="497" t="n">
        <f aca="false">IF(ISNUMBER($H24),IF(ISERROR(VLOOKUP($A24,'liste reference'!$A$6:$Q$1174,6,0)),IF(ISERROR(VLOOKUP($A24,'liste reference'!$B$6:$Q$1174,5,0)),"nu",VLOOKUP($A24,'liste reference'!$B$6:$Q$1174,5,0)),VLOOKUP($A24,'liste reference'!$A$6:$Q$1174,6,0)),"nu")</f>
        <v>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Leptodictyum riparium </v>
      </c>
      <c r="M24" s="504"/>
      <c r="N24" s="504"/>
      <c r="O24" s="504"/>
      <c r="P24" s="499" t="s">
        <v>3445</v>
      </c>
      <c r="Q24" s="500" t="n">
        <f aca="false">IF(OR($A24="NEWCOD",$A24="!!!!!!"),IF(X24="","NoCod",X24),IF($A24="","",IF(ISERROR(VLOOKUP($A24,'liste reference'!$A$6:$H$1174,8,0)),IF(ISERROR(VLOOKUP($A24,'liste reference'!$B$6:$H$1174,7,0)),"",VLOOKUP($A24,'liste reference'!$B$6:$H$1174,7,0)),VLOOKUP($A24,'liste reference'!$A$6:$H$1174,8,0))))</f>
        <v>1244</v>
      </c>
      <c r="R24" s="484" t="n">
        <f aca="false">IF(ISTEXT(H24),"",(B24*$B$7/100)+(C24*$C$7/100))</f>
        <v>0.826000007186085</v>
      </c>
      <c r="S24" s="485" t="n">
        <f aca="false">IF(OR(ISTEXT(H24),R24=0),"",IF(R24&lt;0.1,1,IF(R24&lt;1,2,IF(R24&lt;10,3,IF(R24&lt;50,4,IF(R24&gt;=50,5,""))))))</f>
        <v>2</v>
      </c>
      <c r="T24" s="485" t="n">
        <f aca="false">IF(ISERROR(S24*J24),0,S24*J24)</f>
        <v>10</v>
      </c>
      <c r="U24" s="485" t="n">
        <f aca="false">IF(ISERROR(S24*J24*K24),0,S24*J24*K24)</f>
        <v>20</v>
      </c>
      <c r="V24" s="501" t="n">
        <f aca="false">IF(ISERROR(S24*K24),0,S24*K24)</f>
        <v>4</v>
      </c>
      <c r="W24" s="502"/>
      <c r="X24" s="503"/>
      <c r="Y24" s="488" t="str">
        <f aca="false">IF(AND(ISNUMBER(F24),OR(A24="",A24="!!!!!!")),"!!!!!!",IF(A24="new.cod","NEWCOD",IF(AND((Z24=""),ISTEXT(A24),A24&lt;&gt;"!!!!!!"),A24,IF(Z24="","",INDEX('liste reference'!$A$6:$A$1174,Z24)))))</f>
        <v>LEORIP</v>
      </c>
      <c r="Z24" s="470" t="n">
        <f aca="false">IF(ISERROR(MATCH(A24,'liste reference'!$A$6:$A$1174,0)),IF(ISERROR(MATCH(A24,'liste reference'!$B$6:$B$1174,0)),"",(MATCH(A24,'liste reference'!$B$6:$B$1174,0))),(MATCH(A24,'liste reference'!$A$6:$A$1174,0)))</f>
        <v>298</v>
      </c>
    </row>
    <row r="25" customFormat="false" ht="12.75" hidden="false" customHeight="false" outlineLevel="0" collapsed="false">
      <c r="A25" s="489" t="s">
        <v>134</v>
      </c>
      <c r="B25" s="490" t="n">
        <v>0.0155555997043848</v>
      </c>
      <c r="C25" s="491" t="n">
        <v>0</v>
      </c>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0.00793335584923625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3445</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0.00793335584923625</v>
      </c>
      <c r="S25" s="485" t="n">
        <f aca="false">IF(OR(ISTEXT(H25),R25=0),"",IF(R25&lt;0.1,1,IF(R25&lt;1,2,IF(R25&lt;10,3,IF(R25&lt;50,4,IF(R25&gt;=50,5,""))))))</f>
        <v>1</v>
      </c>
      <c r="T25" s="485" t="n">
        <f aca="false">IF(ISERROR(S25*J25),0,S25*J25)</f>
        <v>6</v>
      </c>
      <c r="U25" s="485" t="n">
        <f aca="false">IF(ISERROR(S25*J25*K25),0,S25*J25*K25)</f>
        <v>6</v>
      </c>
      <c r="V25" s="501" t="n">
        <f aca="false">IF(ISERROR(S25*K25),0,S25*K25)</f>
        <v>1</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300</v>
      </c>
      <c r="B26" s="490" t="n">
        <v>0.00999999977648258</v>
      </c>
      <c r="C26" s="491" t="n">
        <v>0.00999999977648258</v>
      </c>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0.00999999977648258</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3445</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0.00999999977648258</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1657</v>
      </c>
      <c r="B27" s="490" t="n">
        <v>0</v>
      </c>
      <c r="C27" s="491" t="n">
        <v>0.00999999977648258</v>
      </c>
      <c r="D27" s="492" t="str">
        <f aca="false">IF(ISERROR(VLOOKUP($A27,'liste reference'!$A$6:$B$1174,2,0)),IF(ISERROR(VLOOKUP($A27,'liste reference'!$B$6:$B$1174,1,0)),"",VLOOKUP($A27,'liste reference'!$B$6:$B$1174,1,0)),VLOOKUP($A27,'liste reference'!$A$6:$B$1174,2,0))</f>
        <v>Potamogeton crispus</v>
      </c>
      <c r="E27" s="493" t="e">
        <f aca="false">IF(D27="",0,VLOOKUP(D27,D$22:D26,1,0))</f>
        <v>#N/A</v>
      </c>
      <c r="F27" s="494" t="n">
        <f aca="false">IF(AND(OR(A27="",A27="!!!!!!"),B27="",C27=""),"",IF(OR(AND(B27="",C27=""),ISERROR(C27+B27)),"!!!",($B27*$B$7+$C27*$C$7)/100))</f>
        <v>0.00489999989047647</v>
      </c>
      <c r="G27" s="495" t="str">
        <f aca="false">IF(A27="","",IF(ISERROR(VLOOKUP($A27,'liste reference'!$A$6:$Q$1174,9,0)),IF(ISERROR(VLOOKUP($A27,'liste reference'!$B$6:$Q$1174,8,0)),"    -",VLOOKUP($A27,'liste reference'!$B$6:$Q$1174,8,0)),VLOOKUP($A27,'liste reference'!$A$6:$Q$1174,9,0)))</f>
        <v>PHy</v>
      </c>
      <c r="H27" s="496" t="n">
        <f aca="false">IF(A27="","x",IF(ISERROR(VLOOKUP($A27,'liste reference'!$A$6:$Q$1174,10,0)),IF(ISERROR(VLOOKUP($A27,'liste reference'!$B$6:$Q$1174,9,0)),"x",VLOOKUP($A27,'liste reference'!$B$6:$Q$1174,9,0)),VLOOKUP($A27,'liste reference'!$A$6:$Q$1174,10,0)))</f>
        <v>7</v>
      </c>
      <c r="I27" s="281" t="n">
        <f aca="false">IF(A27="","",1)</f>
        <v>1</v>
      </c>
      <c r="J27" s="497" t="n">
        <f aca="false">IF(ISNUMBER($H27),IF(ISERROR(VLOOKUP($A27,'liste reference'!$A$6:$Q$1174,6,0)),IF(ISERROR(VLOOKUP($A27,'liste reference'!$B$6:$Q$1174,5,0)),"nu",VLOOKUP($A27,'liste reference'!$B$6:$Q$1174,5,0)),VLOOKUP($A27,'liste reference'!$A$6:$Q$1174,6,0)),"nu")</f>
        <v>7</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Potamogeton crispus</v>
      </c>
      <c r="M27" s="498"/>
      <c r="N27" s="498"/>
      <c r="O27" s="498"/>
      <c r="P27" s="499" t="s">
        <v>3445</v>
      </c>
      <c r="Q27" s="500" t="n">
        <f aca="false">IF(OR($A27="NEWCOD",$A27="!!!!!!"),IF(X27="","NoCod",X27),IF($A27="","",IF(ISERROR(VLOOKUP($A27,'liste reference'!$A$6:$H$1174,8,0)),IF(ISERROR(VLOOKUP($A27,'liste reference'!$B$6:$H$1174,7,0)),"",VLOOKUP($A27,'liste reference'!$B$6:$H$1174,7,0)),VLOOKUP($A27,'liste reference'!$A$6:$H$1174,8,0))))</f>
        <v>1645</v>
      </c>
      <c r="R27" s="484" t="n">
        <f aca="false">IF(ISTEXT(H27),"",(B27*$B$7/100)+(C27*$C$7/100))</f>
        <v>0.00489999989047647</v>
      </c>
      <c r="S27" s="485" t="n">
        <f aca="false">IF(OR(ISTEXT(H27),R27=0),"",IF(R27&lt;0.1,1,IF(R27&lt;1,2,IF(R27&lt;10,3,IF(R27&lt;50,4,IF(R27&gt;=50,5,""))))))</f>
        <v>1</v>
      </c>
      <c r="T27" s="485" t="n">
        <f aca="false">IF(ISERROR(S27*J27),0,S27*J27)</f>
        <v>7</v>
      </c>
      <c r="U27" s="485" t="n">
        <f aca="false">IF(ISERROR(S27*J27*K27),0,S27*J27*K27)</f>
        <v>14</v>
      </c>
      <c r="V27" s="501" t="n">
        <f aca="false">IF(ISERROR(S27*K27),0,S27*K27)</f>
        <v>2</v>
      </c>
      <c r="W27" s="502"/>
      <c r="X27" s="503"/>
      <c r="Y27" s="488" t="str">
        <f aca="false">IF(AND(ISNUMBER(F27),OR(A27="",A27="!!!!!!")),"!!!!!!",IF(A27="new.cod","NEWCOD",IF(AND((Z27=""),ISTEXT(A27),A27&lt;&gt;"!!!!!!"),A27,IF(Z27="","",INDEX('liste reference'!$A$6:$A$1174,Z27)))))</f>
        <v>POTCRI</v>
      </c>
      <c r="Z27" s="470" t="n">
        <f aca="false">IF(ISERROR(MATCH(A27,'liste reference'!$A$6:$A$1174,0)),IF(ISERROR(MATCH(A27,'liste reference'!$B$6:$B$1174,0)),"",(MATCH(A27,'liste reference'!$B$6:$B$1174,0))),(MATCH(A27,'liste reference'!$A$6:$A$1174,0)))</f>
        <v>522</v>
      </c>
    </row>
    <row r="28" customFormat="false" ht="12.75" hidden="false" customHeight="false" outlineLevel="0" collapsed="false">
      <c r="A28" s="489" t="s">
        <v>1401</v>
      </c>
      <c r="B28" s="490" t="n">
        <v>0.0199999995529652</v>
      </c>
      <c r="C28" s="491" t="n">
        <v>0.00999999977648258</v>
      </c>
      <c r="D28" s="492" t="str">
        <f aca="false">IF(ISERROR(VLOOKUP($A28,'liste reference'!$A$6:$B$1174,2,0)),IF(ISERROR(VLOOKUP($A28,'liste reference'!$B$6:$B$1174,1,0)),"",VLOOKUP($A28,'liste reference'!$B$6:$B$1174,1,0)),VLOOKUP($A28,'liste reference'!$A$6:$B$1174,2,0))</f>
        <v>Callitriche obtusangula</v>
      </c>
      <c r="E28" s="493" t="e">
        <f aca="false">IF(D28="",0,VLOOKUP(D28,D$22:D27,1,0))</f>
        <v>#N/A</v>
      </c>
      <c r="F28" s="494" t="n">
        <f aca="false">IF(AND(OR(A28="",A28="!!!!!!"),B28="",C28=""),"",IF(OR(AND(B28="",C28=""),ISERROR(C28+B28)),"!!!",($B28*$B$7+$C28*$C$7)/100))</f>
        <v>0.0150999996624887</v>
      </c>
      <c r="G28" s="495" t="str">
        <f aca="false">IF(A28="","",IF(ISERROR(VLOOKUP($A28,'liste reference'!$A$6:$Q$1174,9,0)),IF(ISERROR(VLOOKUP($A28,'liste reference'!$B$6:$Q$1174,8,0)),"    -",VLOOKUP($A28,'liste reference'!$B$6:$Q$1174,8,0)),VLOOKUP($A28,'liste reference'!$A$6:$Q$1174,9,0)))</f>
        <v>PHy</v>
      </c>
      <c r="H28" s="496" t="n">
        <f aca="false">IF(A28="","x",IF(ISERROR(VLOOKUP($A28,'liste reference'!$A$6:$Q$1174,10,0)),IF(ISERROR(VLOOKUP($A28,'liste reference'!$B$6:$Q$1174,9,0)),"x",VLOOKUP($A28,'liste reference'!$B$6:$Q$1174,9,0)),VLOOKUP($A28,'liste reference'!$A$6:$Q$1174,10,0)))</f>
        <v>7</v>
      </c>
      <c r="I28" s="281" t="n">
        <f aca="false">IF(A28="","",1)</f>
        <v>1</v>
      </c>
      <c r="J28" s="497" t="n">
        <f aca="false">IF(ISNUMBER($H28),IF(ISERROR(VLOOKUP($A28,'liste reference'!$A$6:$Q$1174,6,0)),IF(ISERROR(VLOOKUP($A28,'liste reference'!$B$6:$Q$1174,5,0)),"nu",VLOOKUP($A28,'liste reference'!$B$6:$Q$1174,5,0)),VLOOKUP($A28,'liste reference'!$A$6:$Q$1174,6,0)),"nu")</f>
        <v>8</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Callitriche obtusangula</v>
      </c>
      <c r="M28" s="498"/>
      <c r="N28" s="498"/>
      <c r="O28" s="498"/>
      <c r="P28" s="499" t="s">
        <v>3445</v>
      </c>
      <c r="Q28" s="500" t="n">
        <f aca="false">IF(OR($A28="NEWCOD",$A28="!!!!!!"),IF(X28="","NoCod",X28),IF($A28="","",IF(ISERROR(VLOOKUP($A28,'liste reference'!$A$6:$H$1174,8,0)),IF(ISERROR(VLOOKUP($A28,'liste reference'!$B$6:$H$1174,7,0)),"",VLOOKUP($A28,'liste reference'!$B$6:$H$1174,7,0)),VLOOKUP($A28,'liste reference'!$A$6:$H$1174,8,0))))</f>
        <v>1700</v>
      </c>
      <c r="R28" s="484" t="n">
        <f aca="false">IF(ISTEXT(H28),"",(B28*$B$7/100)+(C28*$C$7/100))</f>
        <v>0.0150999996624887</v>
      </c>
      <c r="S28" s="485" t="n">
        <f aca="false">IF(OR(ISTEXT(H28),R28=0),"",IF(R28&lt;0.1,1,IF(R28&lt;1,2,IF(R28&lt;10,3,IF(R28&lt;50,4,IF(R28&gt;=50,5,""))))))</f>
        <v>1</v>
      </c>
      <c r="T28" s="485" t="n">
        <f aca="false">IF(ISERROR(S28*J28),0,S28*J28)</f>
        <v>8</v>
      </c>
      <c r="U28" s="485" t="n">
        <f aca="false">IF(ISERROR(S28*J28*K28),0,S28*J28*K28)</f>
        <v>16</v>
      </c>
      <c r="V28" s="501" t="n">
        <f aca="false">IF(ISERROR(S28*K28),0,S28*K28)</f>
        <v>2</v>
      </c>
      <c r="W28" s="502"/>
      <c r="X28" s="503"/>
      <c r="Y28" s="488" t="str">
        <f aca="false">IF(AND(ISNUMBER(F28),OR(A28="",A28="!!!!!!")),"!!!!!!",IF(A28="new.cod","NEWCOD",IF(AND((Z28=""),ISTEXT(A28),A28&lt;&gt;"!!!!!!"),A28,IF(Z28="","",INDEX('liste reference'!$A$6:$A$1174,Z28)))))</f>
        <v>CALOBT</v>
      </c>
      <c r="Z28" s="470" t="n">
        <f aca="false">IF(ISERROR(MATCH(A28,'liste reference'!$A$6:$A$1174,0)),IF(ISERROR(MATCH(A28,'liste reference'!$B$6:$B$1174,0)),"",(MATCH(A28,'liste reference'!$B$6:$B$1174,0))),(MATCH(A28,'liste reference'!$A$6:$A$1174,0)))</f>
        <v>436</v>
      </c>
    </row>
    <row r="29" customFormat="false" ht="12.75" hidden="false" customHeight="false" outlineLevel="0" collapsed="false">
      <c r="A29" s="489" t="s">
        <v>1459</v>
      </c>
      <c r="B29" s="490" t="n">
        <v>0.00999999977648258</v>
      </c>
      <c r="C29" s="491" t="n">
        <v>0</v>
      </c>
      <c r="D29" s="492" t="str">
        <f aca="false">IF(ISERROR(VLOOKUP($A29,'liste reference'!$A$6:$B$1174,2,0)),IF(ISERROR(VLOOKUP($A29,'liste reference'!$B$6:$B$1174,1,0)),"",VLOOKUP($A29,'liste reference'!$B$6:$B$1174,1,0)),VLOOKUP($A29,'liste reference'!$A$6:$B$1174,2,0))</f>
        <v>Elodea nuttallii</v>
      </c>
      <c r="E29" s="493" t="e">
        <f aca="false">IF(D29="",0,VLOOKUP(D29,D$22:D28,1,0))</f>
        <v>#N/A</v>
      </c>
      <c r="F29" s="494" t="n">
        <f aca="false">IF(AND(OR(A29="",A29="!!!!!!"),B29="",C29=""),"",IF(OR(AND(B29="",C29=""),ISERROR(C29+B29)),"!!!",($B29*$B$7+$C29*$C$7)/100))</f>
        <v>0.00509999988600612</v>
      </c>
      <c r="G29" s="495" t="str">
        <f aca="false">IF(A29="","",IF(ISERROR(VLOOKUP($A29,'liste reference'!$A$6:$Q$1174,9,0)),IF(ISERROR(VLOOKUP($A29,'liste reference'!$B$6:$Q$1174,8,0)),"    -",VLOOKUP($A29,'liste reference'!$B$6:$Q$1174,8,0)),VLOOKUP($A29,'liste reference'!$A$6:$Q$1174,9,0)))</f>
        <v>PHy</v>
      </c>
      <c r="H29" s="496" t="n">
        <f aca="false">IF(A29="","x",IF(ISERROR(VLOOKUP($A29,'liste reference'!$A$6:$Q$1174,10,0)),IF(ISERROR(VLOOKUP($A29,'liste reference'!$B$6:$Q$1174,9,0)),"x",VLOOKUP($A29,'liste reference'!$B$6:$Q$1174,9,0)),VLOOKUP($A29,'liste reference'!$A$6:$Q$1174,10,0)))</f>
        <v>7</v>
      </c>
      <c r="I29" s="281" t="n">
        <f aca="false">IF(A29="","",1)</f>
        <v>1</v>
      </c>
      <c r="J29" s="497" t="n">
        <f aca="false">IF(ISNUMBER($H29),IF(ISERROR(VLOOKUP($A29,'liste reference'!$A$6:$Q$1174,6,0)),IF(ISERROR(VLOOKUP($A29,'liste reference'!$B$6:$Q$1174,5,0)),"nu",VLOOKUP($A29,'liste reference'!$B$6:$Q$1174,5,0)),VLOOKUP($A29,'liste reference'!$A$6:$Q$1174,6,0)),"nu")</f>
        <v>8</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Elodea nuttallii</v>
      </c>
      <c r="M29" s="498"/>
      <c r="N29" s="498"/>
      <c r="O29" s="498"/>
      <c r="P29" s="499" t="s">
        <v>3445</v>
      </c>
      <c r="Q29" s="500" t="n">
        <f aca="false">IF(OR($A29="NEWCOD",$A29="!!!!!!"),IF(X29="","NoCod",X29),IF($A29="","",IF(ISERROR(VLOOKUP($A29,'liste reference'!$A$6:$H$1174,8,0)),IF(ISERROR(VLOOKUP($A29,'liste reference'!$B$6:$H$1174,7,0)),"",VLOOKUP($A29,'liste reference'!$B$6:$H$1174,7,0)),VLOOKUP($A29,'liste reference'!$A$6:$H$1174,8,0))))</f>
        <v>1588</v>
      </c>
      <c r="R29" s="484" t="n">
        <f aca="false">IF(ISTEXT(H29),"",(B29*$B$7/100)+(C29*$C$7/100))</f>
        <v>0.00509999988600612</v>
      </c>
      <c r="S29" s="485" t="n">
        <f aca="false">IF(OR(ISTEXT(H29),R29=0),"",IF(R29&lt;0.1,1,IF(R29&lt;1,2,IF(R29&lt;10,3,IF(R29&lt;50,4,IF(R29&gt;=50,5,""))))))</f>
        <v>1</v>
      </c>
      <c r="T29" s="485" t="n">
        <f aca="false">IF(ISERROR(S29*J29),0,S29*J29)</f>
        <v>8</v>
      </c>
      <c r="U29" s="485" t="n">
        <f aca="false">IF(ISERROR(S29*J29*K29),0,S29*J29*K29)</f>
        <v>16</v>
      </c>
      <c r="V29" s="501" t="n">
        <f aca="false">IF(ISERROR(S29*K29),0,S29*K29)</f>
        <v>2</v>
      </c>
      <c r="W29" s="502"/>
      <c r="X29" s="503"/>
      <c r="Y29" s="488" t="str">
        <f aca="false">IF(AND(ISNUMBER(F29),OR(A29="",A29="!!!!!!")),"!!!!!!",IF(A29="new.cod","NEWCOD",IF(AND((Z29=""),ISTEXT(A29),A29&lt;&gt;"!!!!!!"),A29,IF(Z29="","",INDEX('liste reference'!$A$6:$A$1174,Z29)))))</f>
        <v>ELONUT</v>
      </c>
      <c r="Z29" s="470" t="n">
        <f aca="false">IF(ISERROR(MATCH(A29,'liste reference'!$A$6:$A$1174,0)),IF(ISERROR(MATCH(A29,'liste reference'!$B$6:$B$1174,0)),"",(MATCH(A29,'liste reference'!$B$6:$B$1174,0))),(MATCH(A29,'liste reference'!$A$6:$A$1174,0)))</f>
        <v>454</v>
      </c>
    </row>
    <row r="30" customFormat="false" ht="12.75" hidden="false" customHeight="false" outlineLevel="0" collapsed="false">
      <c r="A30" s="489" t="s">
        <v>1557</v>
      </c>
      <c r="B30" s="490" t="n">
        <v>0.800000011920929</v>
      </c>
      <c r="C30" s="491" t="n">
        <v>0.00999999977648258</v>
      </c>
      <c r="D30" s="492" t="str">
        <f aca="false">IF(ISERROR(VLOOKUP($A30,'liste reference'!$A$6:$B$1174,2,0)),IF(ISERROR(VLOOKUP($A30,'liste reference'!$B$6:$B$1174,1,0)),"",VLOOKUP($A30,'liste reference'!$B$6:$B$1174,1,0)),VLOOKUP($A30,'liste reference'!$A$6:$B$1174,2,0))</f>
        <v>Myriophyllum spicatum</v>
      </c>
      <c r="E30" s="493" t="e">
        <f aca="false">IF(D30="",0,VLOOKUP(D30,D$22:D29,1,0))</f>
        <v>#N/A</v>
      </c>
      <c r="F30" s="494" t="n">
        <f aca="false">IF(AND(OR(A30="",A30="!!!!!!"),B30="",C30=""),"",IF(OR(AND(B30="",C30=""),ISERROR(C30+B30)),"!!!",($B30*$B$7+$C30*$C$7)/100))</f>
        <v>0.41290000597015</v>
      </c>
      <c r="G30" s="495" t="str">
        <f aca="false">IF(A30="","",IF(ISERROR(VLOOKUP($A30,'liste reference'!$A$6:$Q$1174,9,0)),IF(ISERROR(VLOOKUP($A30,'liste reference'!$B$6:$Q$1174,8,0)),"    -",VLOOKUP($A30,'liste reference'!$B$6:$Q$1174,8,0)),VLOOKUP($A30,'liste reference'!$A$6:$Q$1174,9,0)))</f>
        <v>PHy</v>
      </c>
      <c r="H30" s="496" t="n">
        <f aca="false">IF(A30="","x",IF(ISERROR(VLOOKUP($A30,'liste reference'!$A$6:$Q$1174,10,0)),IF(ISERROR(VLOOKUP($A30,'liste reference'!$B$6:$Q$1174,9,0)),"x",VLOOKUP($A30,'liste reference'!$B$6:$Q$1174,9,0)),VLOOKUP($A30,'liste reference'!$A$6:$Q$1174,10,0)))</f>
        <v>7</v>
      </c>
      <c r="I30" s="281" t="n">
        <f aca="false">IF(A30="","",1)</f>
        <v>1</v>
      </c>
      <c r="J30" s="497" t="n">
        <f aca="false">IF(ISNUMBER($H30),IF(ISERROR(VLOOKUP($A30,'liste reference'!$A$6:$Q$1174,6,0)),IF(ISERROR(VLOOKUP($A30,'liste reference'!$B$6:$Q$1174,5,0)),"nu",VLOOKUP($A30,'liste reference'!$B$6:$Q$1174,5,0)),VLOOKUP($A30,'liste reference'!$A$6:$Q$1174,6,0)),"nu")</f>
        <v>8</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Myriophyllum spicatum</v>
      </c>
      <c r="M30" s="498"/>
      <c r="N30" s="498"/>
      <c r="O30" s="498"/>
      <c r="P30" s="499" t="s">
        <v>3445</v>
      </c>
      <c r="Q30" s="500" t="n">
        <f aca="false">IF(OR($A30="NEWCOD",$A30="!!!!!!"),IF(X30="","NoCod",X30),IF($A30="","",IF(ISERROR(VLOOKUP($A30,'liste reference'!$A$6:$H$1174,8,0)),IF(ISERROR(VLOOKUP($A30,'liste reference'!$B$6:$H$1174,7,0)),"",VLOOKUP($A30,'liste reference'!$B$6:$H$1174,7,0)),VLOOKUP($A30,'liste reference'!$A$6:$H$1174,8,0))))</f>
        <v>1778</v>
      </c>
      <c r="R30" s="484" t="n">
        <f aca="false">IF(ISTEXT(H30),"",(B30*$B$7/100)+(C30*$C$7/100))</f>
        <v>0.41290000597015</v>
      </c>
      <c r="S30" s="485" t="n">
        <f aca="false">IF(OR(ISTEXT(H30),R30=0),"",IF(R30&lt;0.1,1,IF(R30&lt;1,2,IF(R30&lt;10,3,IF(R30&lt;50,4,IF(R30&gt;=50,5,""))))))</f>
        <v>2</v>
      </c>
      <c r="T30" s="485" t="n">
        <f aca="false">IF(ISERROR(S30*J30),0,S30*J30)</f>
        <v>16</v>
      </c>
      <c r="U30" s="485" t="n">
        <f aca="false">IF(ISERROR(S30*J30*K30),0,S30*J30*K30)</f>
        <v>32</v>
      </c>
      <c r="V30" s="501" t="n">
        <f aca="false">IF(ISERROR(S30*K30),0,S30*K30)</f>
        <v>4</v>
      </c>
      <c r="W30" s="502"/>
      <c r="X30" s="503"/>
      <c r="Y30" s="488" t="str">
        <f aca="false">IF(AND(ISNUMBER(F30),OR(A30="",A30="!!!!!!")),"!!!!!!",IF(A30="new.cod","NEWCOD",IF(AND((Z30=""),ISTEXT(A30),A30&lt;&gt;"!!!!!!"),A30,IF(Z30="","",INDEX('liste reference'!$A$6:$A$1174,Z30)))))</f>
        <v>MYRSPI</v>
      </c>
      <c r="Z30" s="470" t="n">
        <f aca="false">IF(ISERROR(MATCH(A30,'liste reference'!$A$6:$A$1174,0)),IF(ISERROR(MATCH(A30,'liste reference'!$B$6:$B$1174,0)),"",(MATCH(A30,'liste reference'!$B$6:$B$1174,0))),(MATCH(A30,'liste reference'!$A$6:$A$1174,0)))</f>
        <v>486</v>
      </c>
    </row>
    <row r="31" customFormat="false" ht="12.75" hidden="false" customHeight="false" outlineLevel="0" collapsed="false">
      <c r="A31" s="489" t="s">
        <v>2308</v>
      </c>
      <c r="B31" s="490" t="n">
        <v>0</v>
      </c>
      <c r="C31" s="491" t="n">
        <v>0.00999999977648258</v>
      </c>
      <c r="D31" s="492" t="str">
        <f aca="false">IF(ISERROR(VLOOKUP($A31,'liste reference'!$A$6:$B$1174,2,0)),IF(ISERROR(VLOOKUP($A31,'liste reference'!$B$6:$B$1174,1,0)),"",VLOOKUP($A31,'liste reference'!$B$6:$B$1174,1,0)),VLOOKUP($A31,'liste reference'!$A$6:$B$1174,2,0))</f>
        <v>Persicaria hydropiper</v>
      </c>
      <c r="E31" s="493" t="e">
        <f aca="false">IF(D31="",0,VLOOKUP(D31,D$22:D30,1,0))</f>
        <v>#N/A</v>
      </c>
      <c r="F31" s="494" t="n">
        <f aca="false">IF(AND(OR(A31="",A31="!!!!!!"),B31="",C31=""),"",IF(OR(AND(B31="",C31=""),ISERROR(C31+B31)),"!!!",($B31*$B$7+$C31*$C$7)/100))</f>
        <v>0.00489999989047647</v>
      </c>
      <c r="G31" s="495" t="str">
        <f aca="false">IF(A31="","",IF(ISERROR(VLOOKUP($A31,'liste reference'!$A$6:$Q$1174,9,0)),IF(ISERROR(VLOOKUP($A31,'liste reference'!$B$6:$Q$1174,8,0)),"    -",VLOOKUP($A31,'liste reference'!$B$6:$Q$1174,8,0)),VLOOKUP($A31,'liste reference'!$A$6:$Q$1174,9,0)))</f>
        <v>PHe</v>
      </c>
      <c r="H31" s="496" t="n">
        <f aca="false">IF(A31="","x",IF(ISERROR(VLOOKUP($A31,'liste reference'!$A$6:$Q$1174,10,0)),IF(ISERROR(VLOOKUP($A31,'liste reference'!$B$6:$Q$1174,9,0)),"x",VLOOKUP($A31,'liste reference'!$B$6:$Q$1174,9,0)),VLOOKUP($A31,'liste reference'!$A$6:$Q$1174,10,0)))</f>
        <v>9</v>
      </c>
      <c r="I31" s="281" t="n">
        <f aca="false">IF(A31="","",1)</f>
        <v>1</v>
      </c>
      <c r="J31" s="497" t="n">
        <f aca="false">IF(ISNUMBER($H31),IF(ISERROR(VLOOKUP($A31,'liste reference'!$A$6:$Q$1174,6,0)),IF(ISERROR(VLOOKUP($A31,'liste reference'!$B$6:$Q$1174,5,0)),"nu",VLOOKUP($A31,'liste reference'!$B$6:$Q$1174,5,0)),VLOOKUP($A31,'liste reference'!$A$6:$Q$1174,6,0)),"nu")</f>
        <v>8</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Persicaria hydropiper</v>
      </c>
      <c r="M31" s="498"/>
      <c r="N31" s="498"/>
      <c r="O31" s="498"/>
      <c r="P31" s="499" t="s">
        <v>3445</v>
      </c>
      <c r="Q31" s="500" t="n">
        <f aca="false">IF(OR($A31="NEWCOD",$A31="!!!!!!"),IF(X31="","NoCod",X31),IF($A31="","",IF(ISERROR(VLOOKUP($A31,'liste reference'!$A$6:$H$1174,8,0)),IF(ISERROR(VLOOKUP($A31,'liste reference'!$B$6:$H$1174,7,0)),"",VLOOKUP($A31,'liste reference'!$B$6:$H$1174,7,0)),VLOOKUP($A31,'liste reference'!$A$6:$H$1174,8,0))))</f>
        <v>31021</v>
      </c>
      <c r="R31" s="484" t="n">
        <f aca="false">IF(ISTEXT(H31),"",(B31*$B$7/100)+(C31*$C$7/100))</f>
        <v>0.00489999989047647</v>
      </c>
      <c r="S31" s="485" t="n">
        <f aca="false">IF(OR(ISTEXT(H31),R31=0),"",IF(R31&lt;0.1,1,IF(R31&lt;1,2,IF(R31&lt;10,3,IF(R31&lt;50,4,IF(R31&gt;=50,5,""))))))</f>
        <v>1</v>
      </c>
      <c r="T31" s="485" t="n">
        <f aca="false">IF(ISERROR(S31*J31),0,S31*J31)</f>
        <v>8</v>
      </c>
      <c r="U31" s="485" t="n">
        <f aca="false">IF(ISERROR(S31*J31*K31),0,S31*J31*K31)</f>
        <v>16</v>
      </c>
      <c r="V31" s="501" t="n">
        <f aca="false">IF(ISERROR(S31*K31),0,S31*K31)</f>
        <v>2</v>
      </c>
      <c r="W31" s="502"/>
      <c r="X31" s="503"/>
      <c r="Y31" s="488" t="str">
        <f aca="false">IF(AND(ISNUMBER(F31),OR(A31="",A31="!!!!!!")),"!!!!!!",IF(A31="new.cod","NEWCOD",IF(AND((Z31=""),ISTEXT(A31),A31&lt;&gt;"!!!!!!"),A31,IF(Z31="","",INDEX('liste reference'!$A$6:$A$1174,Z31)))))</f>
        <v>PERHYD</v>
      </c>
      <c r="Z31" s="470" t="n">
        <f aca="false">IF(ISERROR(MATCH(A31,'liste reference'!$A$6:$A$1174,0)),IF(ISERROR(MATCH(A31,'liste reference'!$B$6:$B$1174,0)),"",(MATCH(A31,'liste reference'!$B$6:$B$1174,0))),(MATCH(A31,'liste reference'!$A$6:$A$1174,0)))</f>
        <v>756</v>
      </c>
    </row>
    <row r="32" customFormat="false" ht="12.75" hidden="false" customHeight="false" outlineLevel="0" collapsed="false">
      <c r="A32" s="489" t="s">
        <v>1932</v>
      </c>
      <c r="B32" s="490" t="n">
        <v>0.00999999977648258</v>
      </c>
      <c r="C32" s="491" t="n">
        <v>0.00999999977648258</v>
      </c>
      <c r="D32" s="492" t="str">
        <f aca="false">IF(ISERROR(VLOOKUP($A32,'liste reference'!$A$6:$B$1174,2,0)),IF(ISERROR(VLOOKUP($A32,'liste reference'!$B$6:$B$1174,1,0)),"",VLOOKUP($A32,'liste reference'!$B$6:$B$1174,1,0)),VLOOKUP($A32,'liste reference'!$A$6:$B$1174,2,0))</f>
        <v>Agrostis stolonifera</v>
      </c>
      <c r="E32" s="493" t="e">
        <f aca="false">IF(D32="",0,VLOOKUP(D32,D$22:D31,1,0))</f>
        <v>#N/A</v>
      </c>
      <c r="F32" s="494" t="n">
        <f aca="false">IF(AND(OR(A32="",A32="!!!!!!"),B32="",C32=""),"",IF(OR(AND(B32="",C32=""),ISERROR(C32+B32)),"!!!",($B32*$B$7+$C32*$C$7)/100))</f>
        <v>0.00999999977648258</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8</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Agrostis stolonifera</v>
      </c>
      <c r="M32" s="498"/>
      <c r="N32" s="498"/>
      <c r="O32" s="498"/>
      <c r="P32" s="499" t="s">
        <v>3445</v>
      </c>
      <c r="Q32" s="500" t="n">
        <f aca="false">IF(OR($A32="NEWCOD",$A32="!!!!!!"),IF(X32="","NoCod",X32),IF($A32="","",IF(ISERROR(VLOOKUP($A32,'liste reference'!$A$6:$H$1174,8,0)),IF(ISERROR(VLOOKUP($A32,'liste reference'!$B$6:$H$1174,7,0)),"",VLOOKUP($A32,'liste reference'!$B$6:$H$1174,7,0)),VLOOKUP($A32,'liste reference'!$A$6:$H$1174,8,0))))</f>
        <v>1543</v>
      </c>
      <c r="R32" s="484" t="n">
        <f aca="false">IF(ISTEXT(H32),"",(B32*$B$7/100)+(C32*$C$7/100))</f>
        <v>0.00999999977648258</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AGRSTO</v>
      </c>
      <c r="Z32" s="470" t="n">
        <f aca="false">IF(ISERROR(MATCH(A32,'liste reference'!$A$6:$A$1174,0)),IF(ISERROR(MATCH(A32,'liste reference'!$B$6:$B$1174,0)),"",(MATCH(A32,'liste reference'!$B$6:$B$1174,0))),(MATCH(A32,'liste reference'!$A$6:$A$1174,0)))</f>
        <v>623</v>
      </c>
    </row>
    <row r="33" customFormat="false" ht="12.75" hidden="false" customHeight="false" outlineLevel="0" collapsed="false">
      <c r="A33" s="489" t="s">
        <v>889</v>
      </c>
      <c r="B33" s="490" t="n">
        <v>0.00999999977648258</v>
      </c>
      <c r="C33" s="491" t="n">
        <v>0.00999999977648258</v>
      </c>
      <c r="D33" s="492" t="str">
        <f aca="false">IF(ISERROR(VLOOKUP($A33,'liste reference'!$A$6:$B$1174,2,0)),IF(ISERROR(VLOOKUP($A33,'liste reference'!$B$6:$B$1174,1,0)),"",VLOOKUP($A33,'liste reference'!$B$6:$B$1174,1,0)),VLOOKUP($A33,'liste reference'!$A$6:$B$1174,2,0))</f>
        <v>Fontinalis antipyretica</v>
      </c>
      <c r="E33" s="493" t="e">
        <f aca="false">IF(D33="",0,VLOOKUP(D33,D$22:D32,1,0))</f>
        <v>#N/A</v>
      </c>
      <c r="F33" s="494" t="n">
        <f aca="false">IF(AND(OR(A33="",A33="!!!!!!"),B33="",C33=""),"",IF(OR(AND(B33="",C33=""),ISERROR(C33+B33)),"!!!",($B33*$B$7+$C33*$C$7)/100))</f>
        <v>0.00999999977648258</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Fontinalis antipyretica</v>
      </c>
      <c r="M33" s="498"/>
      <c r="N33" s="498"/>
      <c r="O33" s="498"/>
      <c r="P33" s="499" t="s">
        <v>3445</v>
      </c>
      <c r="Q33" s="500" t="n">
        <f aca="false">IF(OR($A33="NEWCOD",$A33="!!!!!!"),IF(X33="","NoCod",X33),IF($A33="","",IF(ISERROR(VLOOKUP($A33,'liste reference'!$A$6:$H$1174,8,0)),IF(ISERROR(VLOOKUP($A33,'liste reference'!$B$6:$H$1174,7,0)),"",VLOOKUP($A33,'liste reference'!$B$6:$H$1174,7,0)),VLOOKUP($A33,'liste reference'!$A$6:$H$1174,8,0))))</f>
        <v>1310</v>
      </c>
      <c r="R33" s="484" t="n">
        <f aca="false">IF(ISTEXT(H33),"",(B33*$B$7/100)+(C33*$C$7/100))</f>
        <v>0.00999999977648258</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FONANT</v>
      </c>
      <c r="Z33" s="470" t="n">
        <f aca="false">IF(ISERROR(MATCH(A33,'liste reference'!$A$6:$A$1174,0)),IF(ISERROR(MATCH(A33,'liste reference'!$B$6:$B$1174,0)),"",(MATCH(A33,'liste reference'!$B$6:$B$1174,0))),(MATCH(A33,'liste reference'!$A$6:$A$1174,0)))</f>
        <v>273</v>
      </c>
    </row>
    <row r="34" customFormat="false" ht="12.75" hidden="false" customHeight="false" outlineLevel="0" collapsed="false">
      <c r="A34" s="489" t="s">
        <v>2105</v>
      </c>
      <c r="B34" s="490" t="n">
        <v>0</v>
      </c>
      <c r="C34" s="491" t="n">
        <v>0.00999999977648258</v>
      </c>
      <c r="D34" s="492" t="str">
        <f aca="false">IF(ISERROR(VLOOKUP($A34,'liste reference'!$A$6:$B$1174,2,0)),IF(ISERROR(VLOOKUP($A34,'liste reference'!$B$6:$B$1174,1,0)),"",VLOOKUP($A34,'liste reference'!$B$6:$B$1174,1,0)),VLOOKUP($A34,'liste reference'!$A$6:$B$1174,2,0))</f>
        <v>Iris pseudacorus</v>
      </c>
      <c r="E34" s="493" t="e">
        <f aca="false">IF(D34="",0,VLOOKUP(D34,D$22:D33,1,0))</f>
        <v>#N/A</v>
      </c>
      <c r="F34" s="494" t="n">
        <f aca="false">IF(AND(OR(A34="",A34="!!!!!!"),B34="",C34=""),"",IF(OR(AND(B34="",C34=""),ISERROR(C34+B34)),"!!!",($B34*$B$7+$C34*$C$7)/100))</f>
        <v>0.00489999989047647</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Iris pseudacorus</v>
      </c>
      <c r="M34" s="498"/>
      <c r="N34" s="498"/>
      <c r="O34" s="498"/>
      <c r="P34" s="499" t="s">
        <v>3445</v>
      </c>
      <c r="Q34" s="500" t="n">
        <f aca="false">IF(OR($A34="NEWCOD",$A34="!!!!!!"),IF(X34="","NoCod",X34),IF($A34="","",IF(ISERROR(VLOOKUP($A34,'liste reference'!$A$6:$H$1174,8,0)),IF(ISERROR(VLOOKUP($A34,'liste reference'!$B$6:$H$1174,7,0)),"",VLOOKUP($A34,'liste reference'!$B$6:$H$1174,7,0)),VLOOKUP($A34,'liste reference'!$A$6:$H$1174,8,0))))</f>
        <v>1601</v>
      </c>
      <c r="R34" s="484" t="n">
        <f aca="false">IF(ISTEXT(H34),"",(B34*$B$7/100)+(C34*$C$7/100))</f>
        <v>0.00489999989047647</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IRIPSE</v>
      </c>
      <c r="Z34" s="470" t="n">
        <f aca="false">IF(ISERROR(MATCH(A34,'liste reference'!$A$6:$A$1174,0)),IF(ISERROR(MATCH(A34,'liste reference'!$B$6:$B$1174,0)),"",(MATCH(A34,'liste reference'!$B$6:$B$1174,0))),(MATCH(A34,'liste reference'!$A$6:$A$1174,0)))</f>
        <v>682</v>
      </c>
    </row>
    <row r="35" customFormat="false" ht="12.75" hidden="false" customHeight="false" outlineLevel="0" collapsed="false">
      <c r="A35" s="489" t="s">
        <v>1522</v>
      </c>
      <c r="B35" s="490" t="n">
        <v>0.00999999977648258</v>
      </c>
      <c r="C35" s="491" t="n">
        <v>0.00999999977648258</v>
      </c>
      <c r="D35" s="492" t="str">
        <f aca="false">IF(ISERROR(VLOOKUP($A35,'liste reference'!$A$6:$B$1174,2,0)),IF(ISERROR(VLOOKUP($A35,'liste reference'!$B$6:$B$1174,1,0)),"",VLOOKUP($A35,'liste reference'!$B$6:$B$1174,1,0)),VLOOKUP($A35,'liste reference'!$A$6:$B$1174,2,0))</f>
        <v>Lemna minor</v>
      </c>
      <c r="E35" s="493" t="e">
        <f aca="false">IF(D35="",0,VLOOKUP(D35,D$22:D34,1,0))</f>
        <v>#N/A</v>
      </c>
      <c r="F35" s="494" t="n">
        <f aca="false">IF(AND(OR(A35="",A35="!!!!!!"),B35="",C35=""),"",IF(OR(AND(B35="",C35=""),ISERROR(C35+B35)),"!!!",($B35*$B$7+$C35*$C$7)/100))</f>
        <v>0.00999999977648258</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Lemna minor</v>
      </c>
      <c r="M35" s="498"/>
      <c r="N35" s="498"/>
      <c r="O35" s="498"/>
      <c r="P35" s="499" t="s">
        <v>3445</v>
      </c>
      <c r="Q35" s="500" t="n">
        <f aca="false">IF(OR($A35="NEWCOD",$A35="!!!!!!"),IF(X35="","NoCod",X35),IF($A35="","",IF(ISERROR(VLOOKUP($A35,'liste reference'!$A$6:$H$1174,8,0)),IF(ISERROR(VLOOKUP($A35,'liste reference'!$B$6:$H$1174,7,0)),"",VLOOKUP($A35,'liste reference'!$B$6:$H$1174,7,0)),VLOOKUP($A35,'liste reference'!$A$6:$H$1174,8,0))))</f>
        <v>1626</v>
      </c>
      <c r="R35" s="484" t="n">
        <f aca="false">IF(ISTEXT(H35),"",(B35*$B$7/100)+(C35*$C$7/100))</f>
        <v>0.00999999977648258</v>
      </c>
      <c r="S35" s="485" t="n">
        <f aca="false">IF(OR(ISTEXT(H35),R35=0),"",IF(R35&lt;0.1,1,IF(R35&lt;1,2,IF(R35&lt;10,3,IF(R35&lt;50,4,IF(R35&gt;=50,5,""))))))</f>
        <v>1</v>
      </c>
      <c r="T35" s="485" t="n">
        <f aca="false">IF(ISERROR(S35*J35),0,S35*J35)</f>
        <v>10</v>
      </c>
      <c r="U35" s="485" t="n">
        <f aca="false">IF(ISERROR(S35*J35*K35),0,S35*J35*K35)</f>
        <v>10</v>
      </c>
      <c r="V35" s="501" t="n">
        <f aca="false">IF(ISERROR(S35*K35),0,S35*K35)</f>
        <v>1</v>
      </c>
      <c r="W35" s="502"/>
      <c r="X35" s="503"/>
      <c r="Y35" s="488" t="str">
        <f aca="false">IF(AND(ISNUMBER(F35),OR(A35="",A35="!!!!!!")),"!!!!!!",IF(A35="new.cod","NEWCOD",IF(AND((Z35=""),ISTEXT(A35),A35&lt;&gt;"!!!!!!"),A35,IF(Z35="","",INDEX('liste reference'!$A$6:$A$1174,Z35)))))</f>
        <v>LEMMIN</v>
      </c>
      <c r="Z35" s="470" t="n">
        <f aca="false">IF(ISERROR(MATCH(A35,'liste reference'!$A$6:$A$1174,0)),IF(ISERROR(MATCH(A35,'liste reference'!$B$6:$B$1174,0)),"",(MATCH(A35,'liste reference'!$B$6:$B$1174,0))),(MATCH(A35,'liste reference'!$A$6:$A$1174,0)))</f>
        <v>473</v>
      </c>
    </row>
    <row r="36" customFormat="false" ht="12.75" hidden="false" customHeight="false" outlineLevel="0" collapsed="false">
      <c r="A36" s="489" t="s">
        <v>228</v>
      </c>
      <c r="B36" s="490" t="n">
        <v>0.00999999977648258</v>
      </c>
      <c r="C36" s="491" t="n">
        <v>0.00999999977648258</v>
      </c>
      <c r="D36" s="492" t="str">
        <f aca="false">IF(ISERROR(VLOOKUP($A36,'liste reference'!$A$6:$B$1174,2,0)),IF(ISERROR(VLOOKUP($A36,'liste reference'!$B$6:$B$1174,1,0)),"",VLOOKUP($A36,'liste reference'!$B$6:$B$1174,1,0)),VLOOKUP($A36,'liste reference'!$A$6:$B$1174,2,0))</f>
        <v>Melosira sp.</v>
      </c>
      <c r="E36" s="493" t="e">
        <f aca="false">IF(D36="",0,VLOOKUP(D36,D$22:D35,1,0))</f>
        <v>#N/A</v>
      </c>
      <c r="F36" s="494" t="n">
        <f aca="false">IF(AND(OR(A36="",A36="!!!!!!"),B36="",C36=""),"",IF(OR(AND(B36="",C36=""),ISERROR(C36+B36)),"!!!",($B36*$B$7+$C36*$C$7)/100))</f>
        <v>0.00999999977648258</v>
      </c>
      <c r="G36" s="495" t="str">
        <f aca="false">IF(A36="","",IF(ISERROR(VLOOKUP($A36,'liste reference'!$A$6:$Q$1174,9,0)),IF(ISERROR(VLOOKUP($A36,'liste reference'!$B$6:$Q$1174,8,0)),"    -",VLOOKUP($A36,'liste reference'!$B$6:$Q$1174,8,0)),VLOOKUP($A36,'liste reference'!$A$6:$Q$1174,9,0)))</f>
        <v>ALG</v>
      </c>
      <c r="H36" s="496" t="n">
        <f aca="false">IF(A36="","x",IF(ISERROR(VLOOKUP($A36,'liste reference'!$A$6:$Q$1174,10,0)),IF(ISERROR(VLOOKUP($A36,'liste reference'!$B$6:$Q$1174,9,0)),"x",VLOOKUP($A36,'liste reference'!$B$6:$Q$1174,9,0)),VLOOKUP($A36,'liste reference'!$A$6:$Q$1174,10,0)))</f>
        <v>2</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Melosira sp.</v>
      </c>
      <c r="M36" s="498"/>
      <c r="N36" s="498"/>
      <c r="O36" s="498"/>
      <c r="P36" s="499" t="s">
        <v>3445</v>
      </c>
      <c r="Q36" s="500" t="n">
        <f aca="false">IF(OR($A36="NEWCOD",$A36="!!!!!!"),IF(X36="","NoCod",X36),IF($A36="","",IF(ISERROR(VLOOKUP($A36,'liste reference'!$A$6:$H$1174,8,0)),IF(ISERROR(VLOOKUP($A36,'liste reference'!$B$6:$H$1174,7,0)),"",VLOOKUP($A36,'liste reference'!$B$6:$H$1174,7,0)),VLOOKUP($A36,'liste reference'!$A$6:$H$1174,8,0))))</f>
        <v>8714</v>
      </c>
      <c r="R36" s="484" t="n">
        <f aca="false">IF(ISTEXT(H36),"",(B36*$B$7/100)+(C36*$C$7/100))</f>
        <v>0.00999999977648258</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MELSPX</v>
      </c>
      <c r="Z36" s="470" t="n">
        <f aca="false">IF(ISERROR(MATCH(A36,'liste reference'!$A$6:$A$1174,0)),IF(ISERROR(MATCH(A36,'liste reference'!$B$6:$B$1174,0)),"",(MATCH(A36,'liste reference'!$B$6:$B$1174,0))),(MATCH(A36,'liste reference'!$A$6:$A$1174,0)))</f>
        <v>62</v>
      </c>
    </row>
    <row r="37" customFormat="false" ht="12.75" hidden="false" customHeight="false" outlineLevel="0" collapsed="false">
      <c r="A37" s="489" t="s">
        <v>2170</v>
      </c>
      <c r="B37" s="490" t="n">
        <v>0.300000011920929</v>
      </c>
      <c r="C37" s="491" t="n">
        <v>0.00999999977648258</v>
      </c>
      <c r="D37" s="492" t="str">
        <f aca="false">IF(ISERROR(VLOOKUP($A37,'liste reference'!$A$6:$B$1174,2,0)),IF(ISERROR(VLOOKUP($A37,'liste reference'!$B$6:$B$1174,1,0)),"",VLOOKUP($A37,'liste reference'!$B$6:$B$1174,1,0)),VLOOKUP($A37,'liste reference'!$A$6:$B$1174,2,0))</f>
        <v>Phalaris arundinacea</v>
      </c>
      <c r="E37" s="493" t="e">
        <f aca="false">IF(D37="",0,VLOOKUP(D37,D$22:D36,1,0))</f>
        <v>#N/A</v>
      </c>
      <c r="F37" s="494" t="n">
        <f aca="false">IF(AND(OR(A37="",A37="!!!!!!"),B37="",C37=""),"",IF(OR(AND(B37="",C37=""),ISERROR(C37+B37)),"!!!",($B37*$B$7+$C37*$C$7)/100))</f>
        <v>0.15790000597015</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Phalaris arundinacea</v>
      </c>
      <c r="M37" s="498"/>
      <c r="N37" s="498"/>
      <c r="O37" s="498"/>
      <c r="P37" s="499" t="s">
        <v>3445</v>
      </c>
      <c r="Q37" s="500" t="n">
        <f aca="false">IF(OR($A37="NEWCOD",$A37="!!!!!!"),IF(X37="","NoCod",X37),IF($A37="","",IF(ISERROR(VLOOKUP($A37,'liste reference'!$A$6:$H$1174,8,0)),IF(ISERROR(VLOOKUP($A37,'liste reference'!$B$6:$H$1174,7,0)),"",VLOOKUP($A37,'liste reference'!$B$6:$H$1174,7,0)),VLOOKUP($A37,'liste reference'!$A$6:$H$1174,8,0))))</f>
        <v>1577</v>
      </c>
      <c r="R37" s="484" t="n">
        <f aca="false">IF(ISTEXT(H37),"",(B37*$B$7/100)+(C37*$C$7/100))</f>
        <v>0.15790000597015</v>
      </c>
      <c r="S37" s="485" t="n">
        <f aca="false">IF(OR(ISTEXT(H37),R37=0),"",IF(R37&lt;0.1,1,IF(R37&lt;1,2,IF(R37&lt;10,3,IF(R37&lt;50,4,IF(R37&gt;=50,5,""))))))</f>
        <v>2</v>
      </c>
      <c r="T37" s="485" t="n">
        <f aca="false">IF(ISERROR(S37*J37),0,S37*J37)</f>
        <v>20</v>
      </c>
      <c r="U37" s="485" t="n">
        <f aca="false">IF(ISERROR(S37*J37*K37),0,S37*J37*K37)</f>
        <v>20</v>
      </c>
      <c r="V37" s="501" t="n">
        <f aca="false">IF(ISERROR(S37*K37),0,S37*K37)</f>
        <v>2</v>
      </c>
      <c r="W37" s="502"/>
      <c r="X37" s="503"/>
      <c r="Y37" s="488" t="str">
        <f aca="false">IF(AND(ISNUMBER(F37),OR(A37="",A37="!!!!!!")),"!!!!!!",IF(A37="new.cod","NEWCOD",IF(AND((Z37=""),ISTEXT(A37),A37&lt;&gt;"!!!!!!"),A37,IF(Z37="","",INDEX('liste reference'!$A$6:$A$1174,Z37)))))</f>
        <v>PHAARU</v>
      </c>
      <c r="Z37" s="470" t="n">
        <f aca="false">IF(ISERROR(MATCH(A37,'liste reference'!$A$6:$A$1174,0)),IF(ISERROR(MATCH(A37,'liste reference'!$B$6:$B$1174,0)),"",(MATCH(A37,'liste reference'!$B$6:$B$1174,0))),(MATCH(A37,'liste reference'!$A$6:$A$1174,0)))</f>
        <v>707</v>
      </c>
    </row>
    <row r="38" customFormat="false" ht="12.75" hidden="false" customHeight="false" outlineLevel="0" collapsed="false">
      <c r="A38" s="489" t="s">
        <v>343</v>
      </c>
      <c r="B38" s="490" t="n">
        <v>0.0299999993294477</v>
      </c>
      <c r="C38" s="491" t="n">
        <v>0.0299999993294477</v>
      </c>
      <c r="D38" s="492" t="str">
        <f aca="false">IF(ISERROR(VLOOKUP($A38,'liste reference'!$A$6:$B$1174,2,0)),IF(ISERROR(VLOOKUP($A38,'liste reference'!$B$6:$B$1174,1,0)),"",VLOOKUP($A38,'liste reference'!$B$6:$B$1174,1,0)),VLOOKUP($A38,'liste reference'!$A$6:$B$1174,2,0))</f>
        <v>Spirogyra sp.</v>
      </c>
      <c r="E38" s="493" t="e">
        <f aca="false">IF(D38="",0,VLOOKUP(D38,D$22:D37,1,0))</f>
        <v>#N/A</v>
      </c>
      <c r="F38" s="494" t="n">
        <f aca="false">IF(AND(OR(A38="",A38="!!!!!!"),B38="",C38=""),"",IF(OR(AND(B38="",C38=""),ISERROR(C38+B38)),"!!!",($B38*$B$7+$C38*$C$7)/100))</f>
        <v>0.0299999993294477</v>
      </c>
      <c r="G38" s="495" t="str">
        <f aca="false">IF(A38="","",IF(ISERROR(VLOOKUP($A38,'liste reference'!$A$6:$Q$1174,9,0)),IF(ISERROR(VLOOKUP($A38,'liste reference'!$B$6:$Q$1174,8,0)),"    -",VLOOKUP($A38,'liste reference'!$B$6:$Q$1174,8,0)),VLOOKUP($A38,'liste reference'!$A$6:$Q$1174,9,0)))</f>
        <v>ALG</v>
      </c>
      <c r="H38" s="496" t="n">
        <f aca="false">IF(A38="","x",IF(ISERROR(VLOOKUP($A38,'liste reference'!$A$6:$Q$1174,10,0)),IF(ISERROR(VLOOKUP($A38,'liste reference'!$B$6:$Q$1174,9,0)),"x",VLOOKUP($A38,'liste reference'!$B$6:$Q$1174,9,0)),VLOOKUP($A38,'liste reference'!$A$6:$Q$1174,10,0)))</f>
        <v>2</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Spirogyra sp.</v>
      </c>
      <c r="M38" s="498"/>
      <c r="N38" s="498"/>
      <c r="O38" s="498"/>
      <c r="P38" s="499" t="s">
        <v>3445</v>
      </c>
      <c r="Q38" s="500" t="n">
        <f aca="false">IF(OR($A38="NEWCOD",$A38="!!!!!!"),IF(X38="","NoCod",X38),IF($A38="","",IF(ISERROR(VLOOKUP($A38,'liste reference'!$A$6:$H$1174,8,0)),IF(ISERROR(VLOOKUP($A38,'liste reference'!$B$6:$H$1174,7,0)),"",VLOOKUP($A38,'liste reference'!$B$6:$H$1174,7,0)),VLOOKUP($A38,'liste reference'!$A$6:$H$1174,8,0))))</f>
        <v>1147</v>
      </c>
      <c r="R38" s="484" t="n">
        <f aca="false">IF(ISTEXT(H38),"",(B38*$B$7/100)+(C38*$C$7/100))</f>
        <v>0.0299999993294477</v>
      </c>
      <c r="S38" s="485" t="n">
        <f aca="false">IF(OR(ISTEXT(H38),R38=0),"",IF(R38&lt;0.1,1,IF(R38&lt;1,2,IF(R38&lt;10,3,IF(R38&lt;50,4,IF(R38&gt;=50,5,""))))))</f>
        <v>1</v>
      </c>
      <c r="T38" s="485" t="n">
        <f aca="false">IF(ISERROR(S38*J38),0,S38*J38)</f>
        <v>10</v>
      </c>
      <c r="U38" s="485" t="n">
        <f aca="false">IF(ISERROR(S38*J38*K38),0,S38*J38*K38)</f>
        <v>10</v>
      </c>
      <c r="V38" s="501" t="n">
        <f aca="false">IF(ISERROR(S38*K38),0,S38*K38)</f>
        <v>1</v>
      </c>
      <c r="W38" s="502"/>
      <c r="X38" s="503"/>
      <c r="Y38" s="488" t="str">
        <f aca="false">IF(AND(ISNUMBER(F38),OR(A38="",A38="!!!!!!")),"!!!!!!",IF(A38="new.cod","NEWCOD",IF(AND((Z38=""),ISTEXT(A38),A38&lt;&gt;"!!!!!!"),A38,IF(Z38="","",INDEX('liste reference'!$A$6:$A$1174,Z38)))))</f>
        <v>SPISPX</v>
      </c>
      <c r="Z38" s="470" t="n">
        <f aca="false">IF(ISERROR(MATCH(A38,'liste reference'!$A$6:$A$1174,0)),IF(ISERROR(MATCH(A38,'liste reference'!$B$6:$B$1174,0)),"",(MATCH(A38,'liste reference'!$B$6:$B$1174,0))),(MATCH(A38,'liste reference'!$A$6:$A$1174,0)))</f>
        <v>102</v>
      </c>
    </row>
    <row r="39" customFormat="false" ht="12.75" hidden="false" customHeight="false" outlineLevel="0" collapsed="false">
      <c r="A39" s="489" t="s">
        <v>909</v>
      </c>
      <c r="B39" s="490" t="n">
        <v>0.00999999977648258</v>
      </c>
      <c r="C39" s="491" t="n">
        <v>0</v>
      </c>
      <c r="D39" s="492" t="str">
        <f aca="false">IF(ISERROR(VLOOKUP($A39,'liste reference'!$A$6:$B$1174,2,0)),IF(ISERROR(VLOOKUP($A39,'liste reference'!$B$6:$B$1174,1,0)),"",VLOOKUP($A39,'liste reference'!$B$6:$B$1174,1,0)),VLOOKUP($A39,'liste reference'!$A$6:$B$1174,2,0))</f>
        <v>Hygroamblystegium fluviatile </v>
      </c>
      <c r="E39" s="493" t="e">
        <f aca="false">IF(D39="",0,VLOOKUP(D39,D$22:D38,1,0))</f>
        <v>#N/A</v>
      </c>
      <c r="F39" s="494" t="n">
        <f aca="false">IF(AND(OR(A39="",A39="!!!!!!"),B39="",C39=""),"",IF(OR(AND(B39="",C39=""),ISERROR(C39+B39)),"!!!",($B39*$B$7+$C39*$C$7)/100))</f>
        <v>0.00509999988600612</v>
      </c>
      <c r="G39" s="495" t="str">
        <f aca="false">IF(A39="","",IF(ISERROR(VLOOKUP($A39,'liste reference'!$A$6:$Q$1174,9,0)),IF(ISERROR(VLOOKUP($A39,'liste reference'!$B$6:$Q$1174,8,0)),"    -",VLOOKUP($A39,'liste reference'!$B$6:$Q$1174,8,0)),VLOOKUP($A39,'liste reference'!$A$6:$Q$1174,9,0)))</f>
        <v>BRm</v>
      </c>
      <c r="H39" s="496" t="n">
        <f aca="false">IF(A39="","x",IF(ISERROR(VLOOKUP($A39,'liste reference'!$A$6:$Q$1174,10,0)),IF(ISERROR(VLOOKUP($A39,'liste reference'!$B$6:$Q$1174,9,0)),"x",VLOOKUP($A39,'liste reference'!$B$6:$Q$1174,9,0)),VLOOKUP($A39,'liste reference'!$A$6:$Q$1174,10,0)))</f>
        <v>5</v>
      </c>
      <c r="I39" s="281" t="n">
        <f aca="false">IF(A39="","",1)</f>
        <v>1</v>
      </c>
      <c r="J39" s="497" t="n">
        <f aca="false">IF(ISNUMBER($H39),IF(ISERROR(VLOOKUP($A39,'liste reference'!$A$6:$Q$1174,6,0)),IF(ISERROR(VLOOKUP($A39,'liste reference'!$B$6:$Q$1174,5,0)),"nu",VLOOKUP($A39,'liste reference'!$B$6:$Q$1174,5,0)),VLOOKUP($A39,'liste reference'!$A$6:$Q$1174,6,0)),"nu")</f>
        <v>11</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Hygroamblystegium fluviatile </v>
      </c>
      <c r="M39" s="498"/>
      <c r="N39" s="498"/>
      <c r="O39" s="498"/>
      <c r="P39" s="499" t="s">
        <v>3445</v>
      </c>
      <c r="Q39" s="500" t="n">
        <f aca="false">IF(OR($A39="NEWCOD",$A39="!!!!!!"),IF(X39="","NoCod",X39),IF($A39="","",IF(ISERROR(VLOOKUP($A39,'liste reference'!$A$6:$H$1174,8,0)),IF(ISERROR(VLOOKUP($A39,'liste reference'!$B$6:$H$1174,7,0)),"",VLOOKUP($A39,'liste reference'!$B$6:$H$1174,7,0)),VLOOKUP($A39,'liste reference'!$A$6:$H$1174,8,0))))</f>
        <v>1237</v>
      </c>
      <c r="R39" s="484" t="n">
        <f aca="false">IF(ISTEXT(H39),"",(B39*$B$7/100)+(C39*$C$7/100))</f>
        <v>0.00509999988600612</v>
      </c>
      <c r="S39" s="485" t="n">
        <f aca="false">IF(OR(ISTEXT(H39),R39=0),"",IF(R39&lt;0.1,1,IF(R39&lt;1,2,IF(R39&lt;10,3,IF(R39&lt;50,4,IF(R39&gt;=50,5,""))))))</f>
        <v>1</v>
      </c>
      <c r="T39" s="485" t="n">
        <f aca="false">IF(ISERROR(S39*J39),0,S39*J39)</f>
        <v>11</v>
      </c>
      <c r="U39" s="485" t="n">
        <f aca="false">IF(ISERROR(S39*J39*K39),0,S39*J39*K39)</f>
        <v>22</v>
      </c>
      <c r="V39" s="501" t="n">
        <f aca="false">IF(ISERROR(S39*K39),0,S39*K39)</f>
        <v>2</v>
      </c>
      <c r="W39" s="502"/>
      <c r="X39" s="503"/>
      <c r="Y39" s="488" t="str">
        <f aca="false">IF(AND(ISNUMBER(F39),OR(A39="",A39="!!!!!!")),"!!!!!!",IF(A39="new.cod","NEWCOD",IF(AND((Z39=""),ISTEXT(A39),A39&lt;&gt;"!!!!!!"),A39,IF(Z39="","",INDEX('liste reference'!$A$6:$A$1174,Z39)))))</f>
        <v>HYAFLU</v>
      </c>
      <c r="Z39" s="470" t="n">
        <f aca="false">IF(ISERROR(MATCH(A39,'liste reference'!$A$6:$A$1174,0)),IF(ISERROR(MATCH(A39,'liste reference'!$B$6:$B$1174,0)),"",(MATCH(A39,'liste reference'!$B$6:$B$1174,0))),(MATCH(A39,'liste reference'!$A$6:$A$1174,0)))</f>
        <v>281</v>
      </c>
    </row>
    <row r="40" customFormat="false" ht="12.75" hidden="false" customHeight="false" outlineLevel="0" collapsed="false">
      <c r="A40" s="489" t="s">
        <v>2132</v>
      </c>
      <c r="B40" s="490" t="n">
        <v>0</v>
      </c>
      <c r="C40" s="491" t="n">
        <v>0.00999999977648258</v>
      </c>
      <c r="D40" s="492" t="str">
        <f aca="false">IF(ISERROR(VLOOKUP($A40,'liste reference'!$A$6:$B$1174,2,0)),IF(ISERROR(VLOOKUP($A40,'liste reference'!$B$6:$B$1174,1,0)),"",VLOOKUP($A40,'liste reference'!$B$6:$B$1174,1,0)),VLOOKUP($A40,'liste reference'!$A$6:$B$1174,2,0))</f>
        <v>Lycopus europaeus</v>
      </c>
      <c r="E40" s="493" t="e">
        <f aca="false">IF(D40="",0,VLOOKUP(D40,D$22:D39,1,0))</f>
        <v>#N/A</v>
      </c>
      <c r="F40" s="494" t="n">
        <f aca="false">IF(AND(OR(A40="",A40="!!!!!!"),B40="",C40=""),"",IF(OR(AND(B40="",C40=""),ISERROR(C40+B40)),"!!!",($B40*$B$7+$C40*$C$7)/100))</f>
        <v>0.00489999989047647</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11</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Lycopus europaeus</v>
      </c>
      <c r="M40" s="498"/>
      <c r="N40" s="498"/>
      <c r="O40" s="498"/>
      <c r="P40" s="499" t="s">
        <v>3445</v>
      </c>
      <c r="Q40" s="500" t="n">
        <f aca="false">IF(OR($A40="NEWCOD",$A40="!!!!!!"),IF(X40="","NoCod",X40),IF($A40="","",IF(ISERROR(VLOOKUP($A40,'liste reference'!$A$6:$H$1174,8,0)),IF(ISERROR(VLOOKUP($A40,'liste reference'!$B$6:$H$1174,7,0)),"",VLOOKUP($A40,'liste reference'!$B$6:$H$1174,7,0)),VLOOKUP($A40,'liste reference'!$A$6:$H$1174,8,0))))</f>
        <v>1789</v>
      </c>
      <c r="R40" s="484" t="n">
        <f aca="false">IF(ISTEXT(H40),"",(B40*$B$7/100)+(C40*$C$7/100))</f>
        <v>0.00489999989047647</v>
      </c>
      <c r="S40" s="485" t="n">
        <f aca="false">IF(OR(ISTEXT(H40),R40=0),"",IF(R40&lt;0.1,1,IF(R40&lt;1,2,IF(R40&lt;10,3,IF(R40&lt;50,4,IF(R40&gt;=50,5,""))))))</f>
        <v>1</v>
      </c>
      <c r="T40" s="485" t="n">
        <f aca="false">IF(ISERROR(S40*J40),0,S40*J40)</f>
        <v>11</v>
      </c>
      <c r="U40" s="485" t="n">
        <f aca="false">IF(ISERROR(S40*J40*K40),0,S40*J40*K40)</f>
        <v>11</v>
      </c>
      <c r="V40" s="501" t="n">
        <f aca="false">IF(ISERROR(S40*K40),0,S40*K40)</f>
        <v>1</v>
      </c>
      <c r="W40" s="502"/>
      <c r="X40" s="503"/>
      <c r="Y40" s="488" t="str">
        <f aca="false">IF(AND(ISNUMBER(F40),OR(A40="",A40="!!!!!!")),"!!!!!!",IF(A40="new.cod","NEWCOD",IF(AND((Z40=""),ISTEXT(A40),A40&lt;&gt;"!!!!!!"),A40,IF(Z40="","",INDEX('liste reference'!$A$6:$A$1174,Z40)))))</f>
        <v>LYCEUR</v>
      </c>
      <c r="Z40" s="470" t="n">
        <f aca="false">IF(ISERROR(MATCH(A40,'liste reference'!$A$6:$A$1174,0)),IF(ISERROR(MATCH(A40,'liste reference'!$B$6:$B$1174,0)),"",(MATCH(A40,'liste reference'!$B$6:$B$1174,0))),(MATCH(A40,'liste reference'!$A$6:$A$1174,0)))</f>
        <v>692</v>
      </c>
    </row>
    <row r="41" customFormat="false" ht="12.75" hidden="false" customHeight="false" outlineLevel="0" collapsed="false">
      <c r="A41" s="489" t="s">
        <v>151</v>
      </c>
      <c r="B41" s="490" t="n">
        <v>0.00999999977648258</v>
      </c>
      <c r="C41" s="491" t="n">
        <v>0</v>
      </c>
      <c r="D41" s="492" t="str">
        <f aca="false">IF(ISERROR(VLOOKUP($A41,'liste reference'!$A$6:$B$1174,2,0)),IF(ISERROR(VLOOKUP($A41,'liste reference'!$B$6:$B$1174,1,0)),"",VLOOKUP($A41,'liste reference'!$B$6:$B$1174,1,0)),VLOOKUP($A41,'liste reference'!$A$6:$B$1174,2,0))</f>
        <v>Diatoma sp.</v>
      </c>
      <c r="E41" s="493" t="e">
        <f aca="false">IF(D41="",0,VLOOKUP(D41,D$22:D40,1,0))</f>
        <v>#N/A</v>
      </c>
      <c r="F41" s="494" t="n">
        <f aca="false">IF(AND(OR(A41="",A41="!!!!!!"),B41="",C41=""),"",IF(OR(AND(B41="",C41=""),ISERROR(C41+B41)),"!!!",($B41*$B$7+$C41*$C$7)/100))</f>
        <v>0.00509999988600612</v>
      </c>
      <c r="G41" s="495" t="str">
        <f aca="false">IF(A41="","",IF(ISERROR(VLOOKUP($A41,'liste reference'!$A$6:$Q$1174,9,0)),IF(ISERROR(VLOOKUP($A41,'liste reference'!$B$6:$Q$1174,8,0)),"    -",VLOOKUP($A41,'liste reference'!$B$6:$Q$1174,8,0)),VLOOKUP($A41,'liste reference'!$A$6:$Q$1174,9,0)))</f>
        <v>ALG</v>
      </c>
      <c r="H41" s="496" t="n">
        <f aca="false">IF(A41="","x",IF(ISERROR(VLOOKUP($A41,'liste reference'!$A$6:$Q$1174,10,0)),IF(ISERROR(VLOOKUP($A41,'liste reference'!$B$6:$Q$1174,9,0)),"x",VLOOKUP($A41,'liste reference'!$B$6:$Q$1174,9,0)),VLOOKUP($A41,'liste reference'!$A$6:$Q$1174,10,0)))</f>
        <v>2</v>
      </c>
      <c r="I41" s="281" t="n">
        <f aca="false">IF(A41="","",1)</f>
        <v>1</v>
      </c>
      <c r="J41" s="497" t="n">
        <f aca="false">IF(ISNUMBER($H41),IF(ISERROR(VLOOKUP($A41,'liste reference'!$A$6:$Q$1174,6,0)),IF(ISERROR(VLOOKUP($A41,'liste reference'!$B$6:$Q$1174,5,0)),"nu",VLOOKUP($A41,'liste reference'!$B$6:$Q$1174,5,0)),VLOOKUP($A41,'liste reference'!$A$6:$Q$1174,6,0)),"nu")</f>
        <v>12</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Diatoma sp.</v>
      </c>
      <c r="M41" s="498"/>
      <c r="N41" s="498"/>
      <c r="O41" s="498"/>
      <c r="P41" s="499" t="s">
        <v>3445</v>
      </c>
      <c r="Q41" s="500" t="n">
        <f aca="false">IF(OR($A41="NEWCOD",$A41="!!!!!!"),IF(X41="","NoCod",X41),IF($A41="","",IF(ISERROR(VLOOKUP($A41,'liste reference'!$A$6:$H$1174,8,0)),IF(ISERROR(VLOOKUP($A41,'liste reference'!$B$6:$H$1174,7,0)),"",VLOOKUP($A41,'liste reference'!$B$6:$H$1174,7,0)),VLOOKUP($A41,'liste reference'!$A$6:$H$1174,8,0))))</f>
        <v>6627</v>
      </c>
      <c r="R41" s="484" t="n">
        <f aca="false">IF(ISTEXT(H41),"",(B41*$B$7/100)+(C41*$C$7/100))</f>
        <v>0.00509999988600612</v>
      </c>
      <c r="S41" s="485" t="n">
        <f aca="false">IF(OR(ISTEXT(H41),R41=0),"",IF(R41&lt;0.1,1,IF(R41&lt;1,2,IF(R41&lt;10,3,IF(R41&lt;50,4,IF(R41&gt;=50,5,""))))))</f>
        <v>1</v>
      </c>
      <c r="T41" s="485" t="n">
        <f aca="false">IF(ISERROR(S41*J41),0,S41*J41)</f>
        <v>12</v>
      </c>
      <c r="U41" s="485" t="n">
        <f aca="false">IF(ISERROR(S41*J41*K41),0,S41*J41*K41)</f>
        <v>24</v>
      </c>
      <c r="V41" s="501" t="n">
        <f aca="false">IF(ISERROR(S41*K41),0,S41*K41)</f>
        <v>2</v>
      </c>
      <c r="W41" s="502"/>
      <c r="X41" s="503"/>
      <c r="Y41" s="488" t="str">
        <f aca="false">IF(AND(ISNUMBER(F41),OR(A41="",A41="!!!!!!")),"!!!!!!",IF(A41="new.cod","NEWCOD",IF(AND((Z41=""),ISTEXT(A41),A41&lt;&gt;"!!!!!!"),A41,IF(Z41="","",INDEX('liste reference'!$A$6:$A$1174,Z41)))))</f>
        <v>DIASPX</v>
      </c>
      <c r="Z41" s="470" t="n">
        <f aca="false">IF(ISERROR(MATCH(A41,'liste reference'!$A$6:$A$1174,0)),IF(ISERROR(MATCH(A41,'liste reference'!$B$6:$B$1174,0)),"",(MATCH(A41,'liste reference'!$B$6:$B$1174,0))),(MATCH(A41,'liste reference'!$A$6:$A$1174,0)))</f>
        <v>40</v>
      </c>
    </row>
    <row r="42" customFormat="false" ht="12.75" hidden="false" customHeight="false" outlineLevel="0" collapsed="false">
      <c r="A42" s="489" t="s">
        <v>830</v>
      </c>
      <c r="B42" s="490" t="n">
        <v>0.00999999977648258</v>
      </c>
      <c r="C42" s="491" t="n">
        <v>0</v>
      </c>
      <c r="D42" s="492" t="str">
        <f aca="false">IF(ISERROR(VLOOKUP($A42,'liste reference'!$A$6:$B$1174,2,0)),IF(ISERROR(VLOOKUP($A42,'liste reference'!$B$6:$B$1174,1,0)),"",VLOOKUP($A42,'liste reference'!$B$6:$B$1174,1,0)),VLOOKUP($A42,'liste reference'!$A$6:$B$1174,2,0))</f>
        <v>Fissidens crassipes</v>
      </c>
      <c r="E42" s="493" t="e">
        <f aca="false">IF(D42="",0,VLOOKUP(D42,D$22:D41,1,0))</f>
        <v>#N/A</v>
      </c>
      <c r="F42" s="494" t="n">
        <f aca="false">IF(AND(OR(A42="",A42="!!!!!!"),B42="",C42=""),"",IF(OR(AND(B42="",C42=""),ISERROR(C42+B42)),"!!!",($B42*$B$7+$C42*$C$7)/100))</f>
        <v>0.00509999988600612</v>
      </c>
      <c r="G42" s="495" t="str">
        <f aca="false">IF(A42="","",IF(ISERROR(VLOOKUP($A42,'liste reference'!$A$6:$Q$1174,9,0)),IF(ISERROR(VLOOKUP($A42,'liste reference'!$B$6:$Q$1174,8,0)),"    -",VLOOKUP($A42,'liste reference'!$B$6:$Q$1174,8,0)),VLOOKUP($A42,'liste reference'!$A$6:$Q$1174,9,0)))</f>
        <v>BRm</v>
      </c>
      <c r="H42" s="496" t="n">
        <f aca="false">IF(A42="","x",IF(ISERROR(VLOOKUP($A42,'liste reference'!$A$6:$Q$1174,10,0)),IF(ISERROR(VLOOKUP($A42,'liste reference'!$B$6:$Q$1174,9,0)),"x",VLOOKUP($A42,'liste reference'!$B$6:$Q$1174,9,0)),VLOOKUP($A42,'liste reference'!$A$6:$Q$1174,10,0)))</f>
        <v>5</v>
      </c>
      <c r="I42" s="281" t="n">
        <f aca="false">IF(A42="","",1)</f>
        <v>1</v>
      </c>
      <c r="J42" s="497" t="n">
        <f aca="false">IF(ISNUMBER($H42),IF(ISERROR(VLOOKUP($A42,'liste reference'!$A$6:$Q$1174,6,0)),IF(ISERROR(VLOOKUP($A42,'liste reference'!$B$6:$Q$1174,5,0)),"nu",VLOOKUP($A42,'liste reference'!$B$6:$Q$1174,5,0)),VLOOKUP($A42,'liste reference'!$A$6:$Q$1174,6,0)),"nu")</f>
        <v>12</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Fissidens crassipes</v>
      </c>
      <c r="M42" s="498"/>
      <c r="N42" s="498"/>
      <c r="O42" s="498"/>
      <c r="P42" s="499" t="s">
        <v>3445</v>
      </c>
      <c r="Q42" s="500" t="n">
        <f aca="false">IF(OR($A42="NEWCOD",$A42="!!!!!!"),IF(X42="","NoCod",X42),IF($A42="","",IF(ISERROR(VLOOKUP($A42,'liste reference'!$A$6:$H$1174,8,0)),IF(ISERROR(VLOOKUP($A42,'liste reference'!$B$6:$H$1174,7,0)),"",VLOOKUP($A42,'liste reference'!$B$6:$H$1174,7,0)),VLOOKUP($A42,'liste reference'!$A$6:$H$1174,8,0))))</f>
        <v>1294</v>
      </c>
      <c r="R42" s="484" t="n">
        <f aca="false">IF(ISTEXT(H42),"",(B42*$B$7/100)+(C42*$C$7/100))</f>
        <v>0.00509999988600612</v>
      </c>
      <c r="S42" s="485" t="n">
        <f aca="false">IF(OR(ISTEXT(H42),R42=0),"",IF(R42&lt;0.1,1,IF(R42&lt;1,2,IF(R42&lt;10,3,IF(R42&lt;50,4,IF(R42&gt;=50,5,""))))))</f>
        <v>1</v>
      </c>
      <c r="T42" s="485" t="n">
        <f aca="false">IF(ISERROR(S42*J42),0,S42*J42)</f>
        <v>12</v>
      </c>
      <c r="U42" s="485" t="n">
        <f aca="false">IF(ISERROR(S42*J42*K42),0,S42*J42*K42)</f>
        <v>24</v>
      </c>
      <c r="V42" s="501" t="n">
        <f aca="false">IF(ISERROR(S42*K42),0,S42*K42)</f>
        <v>2</v>
      </c>
      <c r="W42" s="502"/>
      <c r="X42" s="503"/>
      <c r="Y42" s="488" t="str">
        <f aca="false">IF(AND(ISNUMBER(F42),OR(A42="",A42="!!!!!!")),"!!!!!!",IF(A42="new.cod","NEWCOD",IF(AND((Z42=""),ISTEXT(A42),A42&lt;&gt;"!!!!!!"),A42,IF(Z42="","",INDEX('liste reference'!$A$6:$A$1174,Z42)))))</f>
        <v>FISCRA</v>
      </c>
      <c r="Z42" s="470" t="n">
        <f aca="false">IF(ISERROR(MATCH(A42,'liste reference'!$A$6:$A$1174,0)),IF(ISERROR(MATCH(A42,'liste reference'!$B$6:$B$1174,0)),"",(MATCH(A42,'liste reference'!$B$6:$B$1174,0))),(MATCH(A42,'liste reference'!$A$6:$A$1174,0)))</f>
        <v>255</v>
      </c>
    </row>
    <row r="43" customFormat="false" ht="12.75" hidden="false" customHeight="false" outlineLevel="0" collapsed="false">
      <c r="A43" s="489" t="s">
        <v>1796</v>
      </c>
      <c r="B43" s="490" t="n">
        <v>0.200000002980232</v>
      </c>
      <c r="C43" s="491" t="n">
        <v>0.200000002980232</v>
      </c>
      <c r="D43" s="492" t="str">
        <f aca="false">IF(ISERROR(VLOOKUP($A43,'liste reference'!$A$6:$B$1174,2,0)),IF(ISERROR(VLOOKUP($A43,'liste reference'!$B$6:$B$1174,1,0)),"",VLOOKUP($A43,'liste reference'!$B$6:$B$1174,1,0)),VLOOKUP($A43,'liste reference'!$A$6:$B$1174,2,0))</f>
        <v>Ranunculus penicillatus except. var. calcareus</v>
      </c>
      <c r="E43" s="493" t="e">
        <f aca="false">IF(D43="",0,VLOOKUP(D43,D$22:D42,1,0))</f>
        <v>#N/A</v>
      </c>
      <c r="F43" s="494" t="n">
        <f aca="false">IF(AND(OR(A43="",A43="!!!!!!"),B43="",C43=""),"",IF(OR(AND(B43="",C43=""),ISERROR(C43+B43)),"!!!",($B43*$B$7+$C43*$C$7)/100))</f>
        <v>0.200000002980232</v>
      </c>
      <c r="G43" s="495" t="str">
        <f aca="false">IF(A43="","",IF(ISERROR(VLOOKUP($A43,'liste reference'!$A$6:$Q$1174,9,0)),IF(ISERROR(VLOOKUP($A43,'liste reference'!$B$6:$Q$1174,8,0)),"    -",VLOOKUP($A43,'liste reference'!$B$6:$Q$1174,8,0)),VLOOKUP($A43,'liste reference'!$A$6:$Q$1174,9,0)))</f>
        <v>PHy</v>
      </c>
      <c r="H43" s="496" t="n">
        <f aca="false">IF(A43="","x",IF(ISERROR(VLOOKUP($A43,'liste reference'!$A$6:$Q$1174,10,0)),IF(ISERROR(VLOOKUP($A43,'liste reference'!$B$6:$Q$1174,9,0)),"x",VLOOKUP($A43,'liste reference'!$B$6:$Q$1174,9,0)),VLOOKUP($A43,'liste reference'!$A$6:$Q$1174,10,0)))</f>
        <v>7</v>
      </c>
      <c r="I43" s="281" t="n">
        <f aca="false">IF(A43="","",1)</f>
        <v>1</v>
      </c>
      <c r="J43" s="497" t="n">
        <f aca="false">IF(ISNUMBER($H43),IF(ISERROR(VLOOKUP($A43,'liste reference'!$A$6:$Q$1174,6,0)),IF(ISERROR(VLOOKUP($A43,'liste reference'!$B$6:$Q$1174,5,0)),"nu",VLOOKUP($A43,'liste reference'!$B$6:$Q$1174,5,0)),VLOOKUP($A43,'liste reference'!$A$6:$Q$1174,6,0)),"nu")</f>
        <v>12</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Ranunculus penicillatus except. var. calcareus</v>
      </c>
      <c r="M43" s="498"/>
      <c r="N43" s="498"/>
      <c r="O43" s="498"/>
      <c r="P43" s="499" t="s">
        <v>3445</v>
      </c>
      <c r="Q43" s="500" t="n">
        <f aca="false">IF(OR($A43="NEWCOD",$A43="!!!!!!"),IF(X43="","NoCod",X43),IF($A43="","",IF(ISERROR(VLOOKUP($A43,'liste reference'!$A$6:$H$1174,8,0)),IF(ISERROR(VLOOKUP($A43,'liste reference'!$B$6:$H$1174,7,0)),"",VLOOKUP($A43,'liste reference'!$B$6:$H$1174,7,0)),VLOOKUP($A43,'liste reference'!$A$6:$H$1174,8,0))))</f>
        <v>1909</v>
      </c>
      <c r="R43" s="484" t="n">
        <f aca="false">IF(ISTEXT(H43),"",(B43*$B$7/100)+(C43*$C$7/100))</f>
        <v>0.200000002980232</v>
      </c>
      <c r="S43" s="485" t="n">
        <f aca="false">IF(OR(ISTEXT(H43),R43=0),"",IF(R43&lt;0.1,1,IF(R43&lt;1,2,IF(R43&lt;10,3,IF(R43&lt;50,4,IF(R43&gt;=50,5,""))))))</f>
        <v>2</v>
      </c>
      <c r="T43" s="485" t="n">
        <f aca="false">IF(ISERROR(S43*J43),0,S43*J43)</f>
        <v>24</v>
      </c>
      <c r="U43" s="485" t="n">
        <f aca="false">IF(ISERROR(S43*J43*K43),0,S43*J43*K43)</f>
        <v>24</v>
      </c>
      <c r="V43" s="501" t="n">
        <f aca="false">IF(ISERROR(S43*K43),0,S43*K43)</f>
        <v>2</v>
      </c>
      <c r="W43" s="502"/>
      <c r="X43" s="503"/>
      <c r="Y43" s="488" t="str">
        <f aca="false">IF(AND(ISNUMBER(F43),OR(A43="",A43="!!!!!!")),"!!!!!!",IF(A43="new.cod","NEWCOD",IF(AND((Z43=""),ISTEXT(A43),A43&lt;&gt;"!!!!!!"),A43,IF(Z43="","",INDEX('liste reference'!$A$6:$A$1174,Z43)))))</f>
        <v>RANPEU</v>
      </c>
      <c r="Z43" s="470" t="n">
        <f aca="false">IF(ISERROR(MATCH(A43,'liste reference'!$A$6:$A$1174,0)),IF(ISERROR(MATCH(A43,'liste reference'!$B$6:$B$1174,0)),"",(MATCH(A43,'liste reference'!$B$6:$B$1174,0))),(MATCH(A43,'liste reference'!$A$6:$A$1174,0)))</f>
        <v>571</v>
      </c>
    </row>
    <row r="44" customFormat="false" ht="12.75" hidden="false" customHeight="false" outlineLevel="0" collapsed="false">
      <c r="A44" s="489" t="s">
        <v>1122</v>
      </c>
      <c r="B44" s="490" t="n">
        <v>0.100000001490116</v>
      </c>
      <c r="C44" s="491" t="n">
        <v>0</v>
      </c>
      <c r="D44" s="492" t="str">
        <f aca="false">IF(ISERROR(VLOOKUP($A44,'liste reference'!$A$6:$B$1174,2,0)),IF(ISERROR(VLOOKUP($A44,'liste reference'!$B$6:$B$1174,1,0)),"",VLOOKUP($A44,'liste reference'!$B$6:$B$1174,1,0)),VLOOKUP($A44,'liste reference'!$A$6:$B$1174,2,0))</f>
        <v>Rhynchostegium riparioides</v>
      </c>
      <c r="E44" s="493" t="e">
        <f aca="false">IF(D44="",0,VLOOKUP(D44,D$22:D43,1,0))</f>
        <v>#N/A</v>
      </c>
      <c r="F44" s="494" t="n">
        <f aca="false">IF(AND(OR(A44="",A44="!!!!!!"),B44="",C44=""),"",IF(OR(AND(B44="",C44=""),ISERROR(C44+B44)),"!!!",($B44*$B$7+$C44*$C$7)/100))</f>
        <v>0.0510000007599592</v>
      </c>
      <c r="G44" s="495" t="str">
        <f aca="false">IF(A44="","",IF(ISERROR(VLOOKUP($A44,'liste reference'!$A$6:$Q$1174,9,0)),IF(ISERROR(VLOOKUP($A44,'liste reference'!$B$6:$Q$1174,8,0)),"    -",VLOOKUP($A44,'liste reference'!$B$6:$Q$1174,8,0)),VLOOKUP($A44,'liste reference'!$A$6:$Q$1174,9,0)))</f>
        <v>BRm</v>
      </c>
      <c r="H44" s="496" t="n">
        <f aca="false">IF(A44="","x",IF(ISERROR(VLOOKUP($A44,'liste reference'!$A$6:$Q$1174,10,0)),IF(ISERROR(VLOOKUP($A44,'liste reference'!$B$6:$Q$1174,9,0)),"x",VLOOKUP($A44,'liste reference'!$B$6:$Q$1174,9,0)),VLOOKUP($A44,'liste reference'!$A$6:$Q$1174,10,0)))</f>
        <v>5</v>
      </c>
      <c r="I44" s="281" t="n">
        <f aca="false">IF(A44="","",1)</f>
        <v>1</v>
      </c>
      <c r="J44" s="497" t="n">
        <f aca="false">IF(ISNUMBER($H44),IF(ISERROR(VLOOKUP($A44,'liste reference'!$A$6:$Q$1174,6,0)),IF(ISERROR(VLOOKUP($A44,'liste reference'!$B$6:$Q$1174,5,0)),"nu",VLOOKUP($A44,'liste reference'!$B$6:$Q$1174,5,0)),VLOOKUP($A44,'liste reference'!$A$6:$Q$1174,6,0)),"nu")</f>
        <v>12</v>
      </c>
      <c r="K44" s="497" t="n">
        <f aca="false">IF(ISNUMBER($H44),IF(ISERROR(VLOOKUP($A44,'liste reference'!$A$6:$Q$1174,7,0)),IF(ISERROR(VLOOKUP($A44,'liste reference'!$B$6:$Q$1174,6,0)),"nu",VLOOKUP($A44,'liste reference'!$B$6:$Q$1174,6,0)),VLOOKUP($A44,'liste reference'!$A$6:$Q$1174,7,0)),"nu")</f>
        <v>1</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Rhynchostegium riparioides</v>
      </c>
      <c r="M44" s="498"/>
      <c r="N44" s="498"/>
      <c r="O44" s="498"/>
      <c r="P44" s="499" t="s">
        <v>3445</v>
      </c>
      <c r="Q44" s="500" t="n">
        <f aca="false">IF(OR($A44="NEWCOD",$A44="!!!!!!"),IF(X44="","NoCod",X44),IF($A44="","",IF(ISERROR(VLOOKUP($A44,'liste reference'!$A$6:$H$1174,8,0)),IF(ISERROR(VLOOKUP($A44,'liste reference'!$B$6:$H$1174,7,0)),"",VLOOKUP($A44,'liste reference'!$B$6:$H$1174,7,0)),VLOOKUP($A44,'liste reference'!$A$6:$H$1174,8,0))))</f>
        <v>31691</v>
      </c>
      <c r="R44" s="484" t="n">
        <f aca="false">IF(ISTEXT(H44),"",(B44*$B$7/100)+(C44*$C$7/100))</f>
        <v>0.0510000007599592</v>
      </c>
      <c r="S44" s="485" t="n">
        <f aca="false">IF(OR(ISTEXT(H44),R44=0),"",IF(R44&lt;0.1,1,IF(R44&lt;1,2,IF(R44&lt;10,3,IF(R44&lt;50,4,IF(R44&gt;=50,5,""))))))</f>
        <v>1</v>
      </c>
      <c r="T44" s="485" t="n">
        <f aca="false">IF(ISERROR(S44*J44),0,S44*J44)</f>
        <v>12</v>
      </c>
      <c r="U44" s="485" t="n">
        <f aca="false">IF(ISERROR(S44*J44*K44),0,S44*J44*K44)</f>
        <v>12</v>
      </c>
      <c r="V44" s="501" t="n">
        <f aca="false">IF(ISERROR(S44*K44),0,S44*K44)</f>
        <v>1</v>
      </c>
      <c r="W44" s="502"/>
      <c r="X44" s="503"/>
      <c r="Y44" s="488" t="str">
        <f aca="false">IF(AND(ISNUMBER(F44),OR(A44="",A44="!!!!!!")),"!!!!!!",IF(A44="new.cod","NEWCOD",IF(AND((Z44=""),ISTEXT(A44),A44&lt;&gt;"!!!!!!"),A44,IF(Z44="","",INDEX('liste reference'!$A$6:$A$1174,Z44)))))</f>
        <v>RHYRIP</v>
      </c>
      <c r="Z44" s="470" t="n">
        <f aca="false">IF(ISERROR(MATCH(A44,'liste reference'!$A$6:$A$1174,0)),IF(ISERROR(MATCH(A44,'liste reference'!$B$6:$B$1174,0)),"",(MATCH(A44,'liste reference'!$B$6:$B$1174,0))),(MATCH(A44,'liste reference'!$A$6:$A$1174,0)))</f>
        <v>345</v>
      </c>
    </row>
    <row r="45" customFormat="false" ht="12.75" hidden="false" customHeight="false" outlineLevel="0" collapsed="false">
      <c r="A45" s="489" t="s">
        <v>712</v>
      </c>
      <c r="B45" s="490" t="n">
        <v>0.00999999977648258</v>
      </c>
      <c r="C45" s="491" t="n">
        <v>0</v>
      </c>
      <c r="D45" s="492" t="str">
        <f aca="false">IF(ISERROR(VLOOKUP($A45,'liste reference'!$A$6:$B$1174,2,0)),IF(ISERROR(VLOOKUP($A45,'liste reference'!$B$6:$B$1174,1,0)),"",VLOOKUP($A45,'liste reference'!$B$6:$B$1174,1,0)),VLOOKUP($A45,'liste reference'!$A$6:$B$1174,2,0))</f>
        <v>Cinclidotus riparius</v>
      </c>
      <c r="E45" s="493" t="e">
        <f aca="false">IF(D45="",0,VLOOKUP(D45,D$22:D44,1,0))</f>
        <v>#N/A</v>
      </c>
      <c r="F45" s="494" t="n">
        <f aca="false">IF(AND(OR(A45="",A45="!!!!!!"),B45="",C45=""),"",IF(OR(AND(B45="",C45=""),ISERROR(C45+B45)),"!!!",($B45*$B$7+$C45*$C$7)/100))</f>
        <v>0.00509999988600612</v>
      </c>
      <c r="G45" s="495" t="str">
        <f aca="false">IF(A45="","",IF(ISERROR(VLOOKUP($A45,'liste reference'!$A$6:$Q$1174,9,0)),IF(ISERROR(VLOOKUP($A45,'liste reference'!$B$6:$Q$1174,8,0)),"    -",VLOOKUP($A45,'liste reference'!$B$6:$Q$1174,8,0)),VLOOKUP($A45,'liste reference'!$A$6:$Q$1174,9,0)))</f>
        <v>BRm</v>
      </c>
      <c r="H45" s="496" t="n">
        <f aca="false">IF(A45="","x",IF(ISERROR(VLOOKUP($A45,'liste reference'!$A$6:$Q$1174,10,0)),IF(ISERROR(VLOOKUP($A45,'liste reference'!$B$6:$Q$1174,9,0)),"x",VLOOKUP($A45,'liste reference'!$B$6:$Q$1174,9,0)),VLOOKUP($A45,'liste reference'!$A$6:$Q$1174,10,0)))</f>
        <v>5</v>
      </c>
      <c r="I45" s="281" t="n">
        <f aca="false">IF(A45="","",1)</f>
        <v>1</v>
      </c>
      <c r="J45" s="497" t="n">
        <f aca="false">IF(ISNUMBER($H45),IF(ISERROR(VLOOKUP($A45,'liste reference'!$A$6:$Q$1174,6,0)),IF(ISERROR(VLOOKUP($A45,'liste reference'!$B$6:$Q$1174,5,0)),"nu",VLOOKUP($A45,'liste reference'!$B$6:$Q$1174,5,0)),VLOOKUP($A45,'liste reference'!$A$6:$Q$1174,6,0)),"nu")</f>
        <v>13</v>
      </c>
      <c r="K45" s="497" t="n">
        <f aca="false">IF(ISNUMBER($H45),IF(ISERROR(VLOOKUP($A45,'liste reference'!$A$6:$Q$1174,7,0)),IF(ISERROR(VLOOKUP($A45,'liste reference'!$B$6:$Q$1174,6,0)),"nu",VLOOKUP($A45,'liste reference'!$B$6:$Q$1174,6,0)),VLOOKUP($A45,'liste reference'!$A$6:$Q$1174,7,0)),"nu")</f>
        <v>2</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Cinclidotus riparius</v>
      </c>
      <c r="M45" s="498"/>
      <c r="N45" s="498"/>
      <c r="O45" s="498"/>
      <c r="P45" s="499" t="s">
        <v>3445</v>
      </c>
      <c r="Q45" s="500" t="n">
        <f aca="false">IF(OR($A45="NEWCOD",$A45="!!!!!!"),IF(X45="","NoCod",X45),IF($A45="","",IF(ISERROR(VLOOKUP($A45,'liste reference'!$A$6:$H$1174,8,0)),IF(ISERROR(VLOOKUP($A45,'liste reference'!$B$6:$H$1174,7,0)),"",VLOOKUP($A45,'liste reference'!$B$6:$H$1174,7,0)),VLOOKUP($A45,'liste reference'!$A$6:$H$1174,8,0))))</f>
        <v>1321</v>
      </c>
      <c r="R45" s="484" t="n">
        <f aca="false">IF(ISTEXT(H45),"",(B45*$B$7/100)+(C45*$C$7/100))</f>
        <v>0.00509999988600612</v>
      </c>
      <c r="S45" s="485" t="n">
        <f aca="false">IF(OR(ISTEXT(H45),R45=0),"",IF(R45&lt;0.1,1,IF(R45&lt;1,2,IF(R45&lt;10,3,IF(R45&lt;50,4,IF(R45&gt;=50,5,""))))))</f>
        <v>1</v>
      </c>
      <c r="T45" s="485" t="n">
        <f aca="false">IF(ISERROR(S45*J45),0,S45*J45)</f>
        <v>13</v>
      </c>
      <c r="U45" s="485" t="n">
        <f aca="false">IF(ISERROR(S45*J45*K45),0,S45*J45*K45)</f>
        <v>26</v>
      </c>
      <c r="V45" s="501" t="n">
        <f aca="false">IF(ISERROR(S45*K45),0,S45*K45)</f>
        <v>2</v>
      </c>
      <c r="W45" s="502"/>
      <c r="X45" s="503"/>
      <c r="Y45" s="488" t="str">
        <f aca="false">IF(AND(ISNUMBER(F45),OR(A45="",A45="!!!!!!")),"!!!!!!",IF(A45="new.cod","NEWCOD",IF(AND((Z45=""),ISTEXT(A45),A45&lt;&gt;"!!!!!!"),A45,IF(Z45="","",INDEX('liste reference'!$A$6:$A$1174,Z45)))))</f>
        <v>CINRIP</v>
      </c>
      <c r="Z45" s="470" t="n">
        <f aca="false">IF(ISERROR(MATCH(A45,'liste reference'!$A$6:$A$1174,0)),IF(ISERROR(MATCH(A45,'liste reference'!$B$6:$B$1174,0)),"",(MATCH(A45,'liste reference'!$B$6:$B$1174,0))),(MATCH(A45,'liste reference'!$A$6:$A$1174,0)))</f>
        <v>224</v>
      </c>
    </row>
    <row r="46" customFormat="false" ht="12.75" hidden="false" customHeight="false" outlineLevel="0" collapsed="false">
      <c r="A46" s="489" t="s">
        <v>309</v>
      </c>
      <c r="B46" s="490" t="n">
        <v>0.00999999977648258</v>
      </c>
      <c r="C46" s="491" t="n">
        <v>0</v>
      </c>
      <c r="D46" s="492" t="str">
        <f aca="false">IF(ISERROR(VLOOKUP($A46,'liste reference'!$A$6:$B$1174,2,0)),IF(ISERROR(VLOOKUP($A46,'liste reference'!$B$6:$B$1174,1,0)),"",VLOOKUP($A46,'liste reference'!$B$6:$B$1174,1,0)),VLOOKUP($A46,'liste reference'!$A$6:$B$1174,2,0))</f>
        <v>Phormidium sp.</v>
      </c>
      <c r="E46" s="493" t="e">
        <f aca="false">IF(D46="",0,VLOOKUP(D46,D$22:D45,1,0))</f>
        <v>#N/A</v>
      </c>
      <c r="F46" s="494" t="n">
        <f aca="false">IF(AND(OR(A46="",A46="!!!!!!"),B46="",C46=""),"",IF(OR(AND(B46="",C46=""),ISERROR(C46+B46)),"!!!",($B46*$B$7+$C46*$C$7)/100))</f>
        <v>0.00509999988600612</v>
      </c>
      <c r="G46" s="495" t="str">
        <f aca="false">IF(A46="","",IF(ISERROR(VLOOKUP($A46,'liste reference'!$A$6:$Q$1174,9,0)),IF(ISERROR(VLOOKUP($A46,'liste reference'!$B$6:$Q$1174,8,0)),"    -",VLOOKUP($A46,'liste reference'!$B$6:$Q$1174,8,0)),VLOOKUP($A46,'liste reference'!$A$6:$Q$1174,9,0)))</f>
        <v>ALG</v>
      </c>
      <c r="H46" s="496" t="n">
        <f aca="false">IF(A46="","x",IF(ISERROR(VLOOKUP($A46,'liste reference'!$A$6:$Q$1174,10,0)),IF(ISERROR(VLOOKUP($A46,'liste reference'!$B$6:$Q$1174,9,0)),"x",VLOOKUP($A46,'liste reference'!$B$6:$Q$1174,9,0)),VLOOKUP($A46,'liste reference'!$A$6:$Q$1174,10,0)))</f>
        <v>2</v>
      </c>
      <c r="I46" s="281" t="n">
        <f aca="false">IF(A46="","",1)</f>
        <v>1</v>
      </c>
      <c r="J46" s="497" t="n">
        <f aca="false">IF(ISNUMBER($H46),IF(ISERROR(VLOOKUP($A46,'liste reference'!$A$6:$Q$1174,6,0)),IF(ISERROR(VLOOKUP($A46,'liste reference'!$B$6:$Q$1174,5,0)),"nu",VLOOKUP($A46,'liste reference'!$B$6:$Q$1174,5,0)),VLOOKUP($A46,'liste reference'!$A$6:$Q$1174,6,0)),"nu")</f>
        <v>13</v>
      </c>
      <c r="K46" s="497" t="n">
        <f aca="false">IF(ISNUMBER($H46),IF(ISERROR(VLOOKUP($A46,'liste reference'!$A$6:$Q$1174,7,0)),IF(ISERROR(VLOOKUP($A46,'liste reference'!$B$6:$Q$1174,6,0)),"nu",VLOOKUP($A46,'liste reference'!$B$6:$Q$1174,6,0)),VLOOKUP($A46,'liste reference'!$A$6:$Q$1174,7,0)),"nu")</f>
        <v>2</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Phormidium sp.</v>
      </c>
      <c r="M46" s="498"/>
      <c r="N46" s="498"/>
      <c r="O46" s="498"/>
      <c r="P46" s="499" t="s">
        <v>3445</v>
      </c>
      <c r="Q46" s="500" t="n">
        <f aca="false">IF(OR($A46="NEWCOD",$A46="!!!!!!"),IF(X46="","NoCod",X46),IF($A46="","",IF(ISERROR(VLOOKUP($A46,'liste reference'!$A$6:$H$1174,8,0)),IF(ISERROR(VLOOKUP($A46,'liste reference'!$B$6:$H$1174,7,0)),"",VLOOKUP($A46,'liste reference'!$B$6:$H$1174,7,0)),VLOOKUP($A46,'liste reference'!$A$6:$H$1174,8,0))))</f>
        <v>6414</v>
      </c>
      <c r="R46" s="484" t="n">
        <f aca="false">IF(ISTEXT(H46),"",(B46*$B$7/100)+(C46*$C$7/100))</f>
        <v>0.00509999988600612</v>
      </c>
      <c r="S46" s="485" t="n">
        <f aca="false">IF(OR(ISTEXT(H46),R46=0),"",IF(R46&lt;0.1,1,IF(R46&lt;1,2,IF(R46&lt;10,3,IF(R46&lt;50,4,IF(R46&gt;=50,5,""))))))</f>
        <v>1</v>
      </c>
      <c r="T46" s="485" t="n">
        <f aca="false">IF(ISERROR(S46*J46),0,S46*J46)</f>
        <v>13</v>
      </c>
      <c r="U46" s="485" t="n">
        <f aca="false">IF(ISERROR(S46*J46*K46),0,S46*J46*K46)</f>
        <v>26</v>
      </c>
      <c r="V46" s="501" t="n">
        <f aca="false">IF(ISERROR(S46*K46),0,S46*K46)</f>
        <v>2</v>
      </c>
      <c r="W46" s="502"/>
      <c r="X46" s="503"/>
      <c r="Y46" s="488" t="str">
        <f aca="false">IF(AND(ISNUMBER(F46),OR(A46="",A46="!!!!!!")),"!!!!!!",IF(A46="new.cod","NEWCOD",IF(AND((Z46=""),ISTEXT(A46),A46&lt;&gt;"!!!!!!"),A46,IF(Z46="","",INDEX('liste reference'!$A$6:$A$1174,Z46)))))</f>
        <v>PHOSPX</v>
      </c>
      <c r="Z46" s="470" t="n">
        <f aca="false">IF(ISERROR(MATCH(A46,'liste reference'!$A$6:$A$1174,0)),IF(ISERROR(MATCH(A46,'liste reference'!$B$6:$B$1174,0)),"",(MATCH(A46,'liste reference'!$B$6:$B$1174,0))),(MATCH(A46,'liste reference'!$A$6:$A$1174,0)))</f>
        <v>88</v>
      </c>
    </row>
    <row r="47" customFormat="false" ht="12.75" hidden="false" customHeight="false" outlineLevel="0" collapsed="false">
      <c r="A47" s="489" t="s">
        <v>348</v>
      </c>
      <c r="B47" s="490" t="n">
        <v>0.00999999977648258</v>
      </c>
      <c r="C47" s="491" t="n">
        <v>0.00999999977648258</v>
      </c>
      <c r="D47" s="492" t="str">
        <f aca="false">IF(ISERROR(VLOOKUP($A47,'liste reference'!$A$6:$B$1174,2,0)),IF(ISERROR(VLOOKUP($A47,'liste reference'!$B$6:$B$1174,1,0)),"",VLOOKUP($A47,'liste reference'!$B$6:$B$1174,1,0)),VLOOKUP($A47,'liste reference'!$A$6:$B$1174,2,0))</f>
        <v>Stigeoclonium sp. (excep. S. tenue)</v>
      </c>
      <c r="E47" s="493" t="e">
        <f aca="false">IF(D47="",0,VLOOKUP(D47,D$22:D46,1,0))</f>
        <v>#N/A</v>
      </c>
      <c r="F47" s="494" t="n">
        <f aca="false">IF(AND(OR(A47="",A47="!!!!!!"),B47="",C47=""),"",IF(OR(AND(B47="",C47=""),ISERROR(C47+B47)),"!!!",($B47*$B$7+$C47*$C$7)/100))</f>
        <v>0.00999999977648258</v>
      </c>
      <c r="G47" s="495" t="str">
        <f aca="false">IF(A47="","",IF(ISERROR(VLOOKUP($A47,'liste reference'!$A$6:$Q$1174,9,0)),IF(ISERROR(VLOOKUP($A47,'liste reference'!$B$6:$Q$1174,8,0)),"    -",VLOOKUP($A47,'liste reference'!$B$6:$Q$1174,8,0)),VLOOKUP($A47,'liste reference'!$A$6:$Q$1174,9,0)))</f>
        <v>ALG</v>
      </c>
      <c r="H47" s="496" t="n">
        <f aca="false">IF(A47="","x",IF(ISERROR(VLOOKUP($A47,'liste reference'!$A$6:$Q$1174,10,0)),IF(ISERROR(VLOOKUP($A47,'liste reference'!$B$6:$Q$1174,9,0)),"x",VLOOKUP($A47,'liste reference'!$B$6:$Q$1174,9,0)),VLOOKUP($A47,'liste reference'!$A$6:$Q$1174,10,0)))</f>
        <v>2</v>
      </c>
      <c r="I47" s="281" t="n">
        <f aca="false">IF(A47="","",1)</f>
        <v>1</v>
      </c>
      <c r="J47" s="497" t="n">
        <f aca="false">IF(ISNUMBER($H47),IF(ISERROR(VLOOKUP($A47,'liste reference'!$A$6:$Q$1174,6,0)),IF(ISERROR(VLOOKUP($A47,'liste reference'!$B$6:$Q$1174,5,0)),"nu",VLOOKUP($A47,'liste reference'!$B$6:$Q$1174,5,0)),VLOOKUP($A47,'liste reference'!$A$6:$Q$1174,6,0)),"nu")</f>
        <v>13</v>
      </c>
      <c r="K47" s="497" t="n">
        <f aca="false">IF(ISNUMBER($H47),IF(ISERROR(VLOOKUP($A47,'liste reference'!$A$6:$Q$1174,7,0)),IF(ISERROR(VLOOKUP($A47,'liste reference'!$B$6:$Q$1174,6,0)),"nu",VLOOKUP($A47,'liste reference'!$B$6:$Q$1174,6,0)),VLOOKUP($A47,'liste reference'!$A$6:$Q$1174,7,0)),"nu")</f>
        <v>2</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Stigeoclonium sp. (excep. S. tenue)</v>
      </c>
      <c r="M47" s="498"/>
      <c r="N47" s="498"/>
      <c r="O47" s="498"/>
      <c r="P47" s="499" t="s">
        <v>3445</v>
      </c>
      <c r="Q47" s="500" t="n">
        <f aca="false">IF(OR($A47="NEWCOD",$A47="!!!!!!"),IF(X47="","NoCod",X47),IF($A47="","",IF(ISERROR(VLOOKUP($A47,'liste reference'!$A$6:$H$1174,8,0)),IF(ISERROR(VLOOKUP($A47,'liste reference'!$B$6:$H$1174,7,0)),"",VLOOKUP($A47,'liste reference'!$B$6:$H$1174,7,0)),VLOOKUP($A47,'liste reference'!$A$6:$H$1174,8,0))))</f>
        <v>1119</v>
      </c>
      <c r="R47" s="484" t="n">
        <f aca="false">IF(ISTEXT(H47),"",(B47*$B$7/100)+(C47*$C$7/100))</f>
        <v>0.00999999977648258</v>
      </c>
      <c r="S47" s="485" t="n">
        <f aca="false">IF(OR(ISTEXT(H47),R47=0),"",IF(R47&lt;0.1,1,IF(R47&lt;1,2,IF(R47&lt;10,3,IF(R47&lt;50,4,IF(R47&gt;=50,5,""))))))</f>
        <v>1</v>
      </c>
      <c r="T47" s="485" t="n">
        <f aca="false">IF(ISERROR(S47*J47),0,S47*J47)</f>
        <v>13</v>
      </c>
      <c r="U47" s="485" t="n">
        <f aca="false">IF(ISERROR(S47*J47*K47),0,S47*J47*K47)</f>
        <v>26</v>
      </c>
      <c r="V47" s="501" t="n">
        <f aca="false">IF(ISERROR(S47*K47),0,S47*K47)</f>
        <v>2</v>
      </c>
      <c r="W47" s="502"/>
      <c r="X47" s="503"/>
      <c r="Y47" s="488" t="str">
        <f aca="false">IF(AND(ISNUMBER(F47),OR(A47="",A47="!!!!!!")),"!!!!!!",IF(A47="new.cod","NEWCOD",IF(AND((Z47=""),ISTEXT(A47),A47&lt;&gt;"!!!!!!"),A47,IF(Z47="","",INDEX('liste reference'!$A$6:$A$1174,Z47)))))</f>
        <v>STISPX</v>
      </c>
      <c r="Z47" s="470" t="n">
        <f aca="false">IF(ISERROR(MATCH(A47,'liste reference'!$A$6:$A$1174,0)),IF(ISERROR(MATCH(A47,'liste reference'!$B$6:$B$1174,0)),"",(MATCH(A47,'liste reference'!$B$6:$B$1174,0))),(MATCH(A47,'liste reference'!$A$6:$A$1174,0)))</f>
        <v>104</v>
      </c>
    </row>
    <row r="48" customFormat="false" ht="12.75" hidden="false" customHeight="false" outlineLevel="0" collapsed="false">
      <c r="A48" s="489" t="s">
        <v>448</v>
      </c>
      <c r="B48" s="490" t="n">
        <v>0.00999999977648258</v>
      </c>
      <c r="C48" s="491" t="n">
        <v>0</v>
      </c>
      <c r="D48" s="492" t="str">
        <f aca="false">IF(ISERROR(VLOOKUP($A48,'liste reference'!$A$6:$B$1174,2,0)),IF(ISERROR(VLOOKUP($A48,'liste reference'!$B$6:$B$1174,1,0)),"",VLOOKUP($A48,'liste reference'!$B$6:$B$1174,1,0)),VLOOKUP($A48,'liste reference'!$A$6:$B$1174,2,0))</f>
        <v>Chiloscyphus polyanthos</v>
      </c>
      <c r="E48" s="493" t="e">
        <f aca="false">IF(D48="",0,VLOOKUP(D48,D$22:D47,1,0))</f>
        <v>#N/A</v>
      </c>
      <c r="F48" s="494" t="n">
        <f aca="false">IF(AND(OR(A48="",A48="!!!!!!"),B48="",C48=""),"",IF(OR(AND(B48="",C48=""),ISERROR(C48+B48)),"!!!",($B48*$B$7+$C48*$C$7)/100))</f>
        <v>0.00509999988600612</v>
      </c>
      <c r="G48" s="495" t="str">
        <f aca="false">IF(A48="","",IF(ISERROR(VLOOKUP($A48,'liste reference'!$A$6:$Q$1174,9,0)),IF(ISERROR(VLOOKUP($A48,'liste reference'!$B$6:$Q$1174,8,0)),"    -",VLOOKUP($A48,'liste reference'!$B$6:$Q$1174,8,0)),VLOOKUP($A48,'liste reference'!$A$6:$Q$1174,9,0)))</f>
        <v>BRh</v>
      </c>
      <c r="H48" s="496" t="n">
        <f aca="false">IF(A48="","x",IF(ISERROR(VLOOKUP($A48,'liste reference'!$A$6:$Q$1174,10,0)),IF(ISERROR(VLOOKUP($A48,'liste reference'!$B$6:$Q$1174,9,0)),"x",VLOOKUP($A48,'liste reference'!$B$6:$Q$1174,9,0)),VLOOKUP($A48,'liste reference'!$A$6:$Q$1174,10,0)))</f>
        <v>4</v>
      </c>
      <c r="I48" s="281" t="n">
        <f aca="false">IF(A48="","",1)</f>
        <v>1</v>
      </c>
      <c r="J48" s="497" t="n">
        <f aca="false">IF(ISNUMBER($H48),IF(ISERROR(VLOOKUP($A48,'liste reference'!$A$6:$Q$1174,6,0)),IF(ISERROR(VLOOKUP($A48,'liste reference'!$B$6:$Q$1174,5,0)),"nu",VLOOKUP($A48,'liste reference'!$B$6:$Q$1174,5,0)),VLOOKUP($A48,'liste reference'!$A$6:$Q$1174,6,0)),"nu")</f>
        <v>15</v>
      </c>
      <c r="K48" s="497" t="n">
        <f aca="false">IF(ISNUMBER($H48),IF(ISERROR(VLOOKUP($A48,'liste reference'!$A$6:$Q$1174,7,0)),IF(ISERROR(VLOOKUP($A48,'liste reference'!$B$6:$Q$1174,6,0)),"nu",VLOOKUP($A48,'liste reference'!$B$6:$Q$1174,6,0)),VLOOKUP($A48,'liste reference'!$A$6:$Q$1174,7,0)),"nu")</f>
        <v>2</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Chiloscyphus polyanthos</v>
      </c>
      <c r="M48" s="498"/>
      <c r="N48" s="498"/>
      <c r="O48" s="498"/>
      <c r="P48" s="499" t="s">
        <v>3445</v>
      </c>
      <c r="Q48" s="500" t="n">
        <f aca="false">IF(OR($A48="NEWCOD",$A48="!!!!!!"),IF(X48="","NoCod",X48),IF($A48="","",IF(ISERROR(VLOOKUP($A48,'liste reference'!$A$6:$H$1174,8,0)),IF(ISERROR(VLOOKUP($A48,'liste reference'!$B$6:$H$1174,7,0)),"",VLOOKUP($A48,'liste reference'!$B$6:$H$1174,7,0)),VLOOKUP($A48,'liste reference'!$A$6:$H$1174,8,0))))</f>
        <v>1186</v>
      </c>
      <c r="R48" s="484" t="n">
        <f aca="false">IF(ISTEXT(H48),"",(B48*$B$7/100)+(C48*$C$7/100))</f>
        <v>0.00509999988600612</v>
      </c>
      <c r="S48" s="485" t="n">
        <f aca="false">IF(OR(ISTEXT(H48),R48=0),"",IF(R48&lt;0.1,1,IF(R48&lt;1,2,IF(R48&lt;10,3,IF(R48&lt;50,4,IF(R48&gt;=50,5,""))))))</f>
        <v>1</v>
      </c>
      <c r="T48" s="485" t="n">
        <f aca="false">IF(ISERROR(S48*J48),0,S48*J48)</f>
        <v>15</v>
      </c>
      <c r="U48" s="485" t="n">
        <f aca="false">IF(ISERROR(S48*J48*K48),0,S48*J48*K48)</f>
        <v>30</v>
      </c>
      <c r="V48" s="501" t="n">
        <f aca="false">IF(ISERROR(S48*K48),0,S48*K48)</f>
        <v>2</v>
      </c>
      <c r="W48" s="502"/>
      <c r="X48" s="503"/>
      <c r="Y48" s="488" t="str">
        <f aca="false">IF(AND(ISNUMBER(F48),OR(A48="",A48="!!!!!!")),"!!!!!!",IF(A48="new.cod","NEWCOD",IF(AND((Z48=""),ISTEXT(A48),A48&lt;&gt;"!!!!!!"),A48,IF(Z48="","",INDEX('liste reference'!$A$6:$A$1174,Z48)))))</f>
        <v>CHIPOL</v>
      </c>
      <c r="Z48" s="470" t="n">
        <f aca="false">IF(ISERROR(MATCH(A48,'liste reference'!$A$6:$A$1174,0)),IF(ISERROR(MATCH(A48,'liste reference'!$B$6:$B$1174,0)),"",(MATCH(A48,'liste reference'!$B$6:$B$1174,0))),(MATCH(A48,'liste reference'!$A$6:$A$1174,0)))</f>
        <v>137</v>
      </c>
    </row>
    <row r="49" customFormat="false" ht="12.75" hidden="false" customHeight="false" outlineLevel="0" collapsed="false">
      <c r="A49" s="489" t="s">
        <v>195</v>
      </c>
      <c r="B49" s="490" t="n">
        <v>1</v>
      </c>
      <c r="C49" s="491" t="n">
        <v>0.5</v>
      </c>
      <c r="D49" s="492" t="str">
        <f aca="false">IF(ISERROR(VLOOKUP($A49,'liste reference'!$A$6:$B$1174,2,0)),IF(ISERROR(VLOOKUP($A49,'liste reference'!$B$6:$B$1174,1,0)),"",VLOOKUP($A49,'liste reference'!$B$6:$B$1174,1,0)),VLOOKUP($A49,'liste reference'!$A$6:$B$1174,2,0))</f>
        <v>Hildenbrandia sp.</v>
      </c>
      <c r="E49" s="493" t="e">
        <f aca="false">IF(D49="",0,VLOOKUP(D49,D$22:D48,1,0))</f>
        <v>#N/A</v>
      </c>
      <c r="F49" s="494" t="n">
        <f aca="false">IF(AND(OR(A49="",A49="!!!!!!"),B49="",C49=""),"",IF(OR(AND(B49="",C49=""),ISERROR(C49+B49)),"!!!",($B49*$B$7+$C49*$C$7)/100))</f>
        <v>0.755</v>
      </c>
      <c r="G49" s="495" t="str">
        <f aca="false">IF(A49="","",IF(ISERROR(VLOOKUP($A49,'liste reference'!$A$6:$Q$1174,9,0)),IF(ISERROR(VLOOKUP($A49,'liste reference'!$B$6:$Q$1174,8,0)),"    -",VLOOKUP($A49,'liste reference'!$B$6:$Q$1174,8,0)),VLOOKUP($A49,'liste reference'!$A$6:$Q$1174,9,0)))</f>
        <v>ALG</v>
      </c>
      <c r="H49" s="496" t="n">
        <f aca="false">IF(A49="","x",IF(ISERROR(VLOOKUP($A49,'liste reference'!$A$6:$Q$1174,10,0)),IF(ISERROR(VLOOKUP($A49,'liste reference'!$B$6:$Q$1174,9,0)),"x",VLOOKUP($A49,'liste reference'!$B$6:$Q$1174,9,0)),VLOOKUP($A49,'liste reference'!$A$6:$Q$1174,10,0)))</f>
        <v>2</v>
      </c>
      <c r="I49" s="281" t="n">
        <f aca="false">IF(A49="","",1)</f>
        <v>1</v>
      </c>
      <c r="J49" s="497" t="n">
        <f aca="false">IF(ISNUMBER($H49),IF(ISERROR(VLOOKUP($A49,'liste reference'!$A$6:$Q$1174,6,0)),IF(ISERROR(VLOOKUP($A49,'liste reference'!$B$6:$Q$1174,5,0)),"nu",VLOOKUP($A49,'liste reference'!$B$6:$Q$1174,5,0)),VLOOKUP($A49,'liste reference'!$A$6:$Q$1174,6,0)),"nu")</f>
        <v>15</v>
      </c>
      <c r="K49" s="497" t="n">
        <f aca="false">IF(ISNUMBER($H49),IF(ISERROR(VLOOKUP($A49,'liste reference'!$A$6:$Q$1174,7,0)),IF(ISERROR(VLOOKUP($A49,'liste reference'!$B$6:$Q$1174,6,0)),"nu",VLOOKUP($A49,'liste reference'!$B$6:$Q$1174,6,0)),VLOOKUP($A49,'liste reference'!$A$6:$Q$1174,7,0)),"nu")</f>
        <v>2</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Hildenbrandia sp.</v>
      </c>
      <c r="M49" s="504"/>
      <c r="N49" s="504"/>
      <c r="O49" s="504"/>
      <c r="P49" s="499" t="s">
        <v>3445</v>
      </c>
      <c r="Q49" s="500" t="n">
        <f aca="false">IF(OR($A49="NEWCOD",$A49="!!!!!!"),IF(X49="","NoCod",X49),IF($A49="","",IF(ISERROR(VLOOKUP($A49,'liste reference'!$A$6:$H$1174,8,0)),IF(ISERROR(VLOOKUP($A49,'liste reference'!$B$6:$H$1174,7,0)),"",VLOOKUP($A49,'liste reference'!$B$6:$H$1174,7,0)),VLOOKUP($A49,'liste reference'!$A$6:$H$1174,8,0))))</f>
        <v>1157</v>
      </c>
      <c r="R49" s="484" t="n">
        <f aca="false">IF(ISTEXT(H49),"",(B49*$B$7/100)+(C49*$C$7/100))</f>
        <v>0.755</v>
      </c>
      <c r="S49" s="485" t="n">
        <f aca="false">IF(OR(ISTEXT(H49),R49=0),"",IF(R49&lt;0.1,1,IF(R49&lt;1,2,IF(R49&lt;10,3,IF(R49&lt;50,4,IF(R49&gt;=50,5,""))))))</f>
        <v>2</v>
      </c>
      <c r="T49" s="485" t="n">
        <f aca="false">IF(ISERROR(S49*J49),0,S49*J49)</f>
        <v>30</v>
      </c>
      <c r="U49" s="485" t="n">
        <f aca="false">IF(ISERROR(S49*J49*K49),0,S49*J49*K49)</f>
        <v>60</v>
      </c>
      <c r="V49" s="501" t="n">
        <f aca="false">IF(ISERROR(S49*K49),0,S49*K49)</f>
        <v>4</v>
      </c>
      <c r="W49" s="502"/>
      <c r="X49" s="503"/>
      <c r="Y49" s="488" t="str">
        <f aca="false">IF(AND(ISNUMBER(F49),OR(A49="",A49="!!!!!!")),"!!!!!!",IF(A49="new.cod","NEWCOD",IF(AND((Z49=""),ISTEXT(A49),A49&lt;&gt;"!!!!!!"),A49,IF(Z49="","",INDEX('liste reference'!$A$6:$A$1174,Z49)))))</f>
        <v>HILSPX</v>
      </c>
      <c r="Z49" s="470" t="n">
        <f aca="false">IF(ISERROR(MATCH(A49,'liste reference'!$A$6:$A$1174,0)),IF(ISERROR(MATCH(A49,'liste reference'!$B$6:$B$1174,0)),"",(MATCH(A49,'liste reference'!$B$6:$B$1174,0))),(MATCH(A49,'liste reference'!$A$6:$A$1174,0)))</f>
        <v>53</v>
      </c>
    </row>
    <row r="50" customFormat="false" ht="12.75" hidden="false" customHeight="false" outlineLevel="0" collapsed="false">
      <c r="A50" s="489" t="s">
        <v>2544</v>
      </c>
      <c r="B50" s="490" t="n">
        <v>0</v>
      </c>
      <c r="C50" s="491" t="n">
        <v>0.00999999977648258</v>
      </c>
      <c r="D50" s="492" t="str">
        <f aca="false">IF(ISERROR(VLOOKUP($A50,'liste reference'!$A$6:$B$1174,2,0)),IF(ISERROR(VLOOKUP($A50,'liste reference'!$B$6:$B$1174,1,0)),"",VLOOKUP($A50,'liste reference'!$B$6:$B$1174,1,0)),VLOOKUP($A50,'liste reference'!$A$6:$B$1174,2,0))</f>
        <v>Glechoma hederacea</v>
      </c>
      <c r="E50" s="493" t="e">
        <f aca="false">IF(D50="",0,VLOOKUP(D50,D$22:D49,1,0))</f>
        <v>#N/A</v>
      </c>
      <c r="F50" s="494" t="n">
        <f aca="false">IF(AND(OR(A50="",A50="!!!!!!"),B50="",C50=""),"",IF(OR(AND(B50="",C50=""),ISERROR(C50+B50)),"!!!",($B50*$B$7+$C50*$C$7)/100))</f>
        <v>0.00489999989047647</v>
      </c>
      <c r="G50" s="495" t="str">
        <f aca="false">IF(A50="","",IF(ISERROR(VLOOKUP($A50,'liste reference'!$A$6:$Q$1174,9,0)),IF(ISERROR(VLOOKUP($A50,'liste reference'!$B$6:$Q$1174,8,0)),"    -",VLOOKUP($A50,'liste reference'!$B$6:$Q$1174,8,0)),VLOOKUP($A50,'liste reference'!$A$6:$Q$1174,9,0)))</f>
        <v>PHg</v>
      </c>
      <c r="H50" s="496" t="n">
        <f aca="false">IF(A50="","x",IF(ISERROR(VLOOKUP($A50,'liste reference'!$A$6:$Q$1174,10,0)),IF(ISERROR(VLOOKUP($A50,'liste reference'!$B$6:$Q$1174,9,0)),"x",VLOOKUP($A50,'liste reference'!$B$6:$Q$1174,9,0)),VLOOKUP($A50,'liste reference'!$A$6:$Q$1174,10,0)))</f>
        <v>9</v>
      </c>
      <c r="I50" s="281" t="n">
        <f aca="false">IF(A50="","",1)</f>
        <v>1</v>
      </c>
      <c r="J50" s="497" t="str">
        <f aca="false">IF(ISNUMBER($H50),IF(ISERROR(VLOOKUP($A50,'liste reference'!$A$6:$Q$1174,6,0)),IF(ISERROR(VLOOKUP($A50,'liste reference'!$B$6:$Q$1174,5,0)),"nu",VLOOKUP($A50,'liste reference'!$B$6:$Q$1174,5,0)),VLOOKUP($A50,'liste reference'!$A$6:$Q$1174,6,0)),"nu")</f>
        <v>nc</v>
      </c>
      <c r="K50" s="497" t="str">
        <f aca="false">IF(ISNUMBER($H50),IF(ISERROR(VLOOKUP($A50,'liste reference'!$A$6:$Q$1174,7,0)),IF(ISERROR(VLOOKUP($A50,'liste reference'!$B$6:$Q$1174,6,0)),"nu",VLOOKUP($A50,'liste reference'!$B$6:$Q$1174,6,0)),VLOOKUP($A50,'liste reference'!$A$6:$Q$1174,7,0)),"nu")</f>
        <v>nc</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Glechoma hederacea</v>
      </c>
      <c r="M50" s="498"/>
      <c r="N50" s="498"/>
      <c r="O50" s="498"/>
      <c r="P50" s="499" t="s">
        <v>3445</v>
      </c>
      <c r="Q50" s="500" t="n">
        <f aca="false">IF(OR($A50="NEWCOD",$A50="!!!!!!"),IF(X50="","NoCod",X50),IF($A50="","",IF(ISERROR(VLOOKUP($A50,'liste reference'!$A$6:$H$1174,8,0)),IF(ISERROR(VLOOKUP($A50,'liste reference'!$B$6:$H$1174,7,0)),"",VLOOKUP($A50,'liste reference'!$B$6:$H$1174,7,0)),VLOOKUP($A50,'liste reference'!$A$6:$H$1174,8,0))))</f>
        <v>19767</v>
      </c>
      <c r="R50" s="484" t="n">
        <f aca="false">IF(ISTEXT(H50),"",(B50*$B$7/100)+(C50*$C$7/100))</f>
        <v>0.00489999989047647</v>
      </c>
      <c r="S50" s="485" t="n">
        <f aca="false">IF(OR(ISTEXT(H50),R50=0),"",IF(R50&lt;0.1,1,IF(R50&lt;1,2,IF(R50&lt;10,3,IF(R50&lt;50,4,IF(R50&gt;=50,5,""))))))</f>
        <v>1</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GLEHED</v>
      </c>
      <c r="Z50" s="470" t="n">
        <f aca="false">IF(ISERROR(MATCH(A50,'liste reference'!$A$6:$A$1174,0)),IF(ISERROR(MATCH(A50,'liste reference'!$B$6:$B$1174,0)),"",(MATCH(A50,'liste reference'!$B$6:$B$1174,0))),(MATCH(A50,'liste reference'!$A$6:$A$1174,0)))</f>
        <v>849</v>
      </c>
    </row>
    <row r="51" customFormat="false" ht="12.75" hidden="false" customHeight="false" outlineLevel="0" collapsed="false">
      <c r="A51" s="489" t="s">
        <v>176</v>
      </c>
      <c r="B51" s="490" t="n">
        <v>0.0122221997007728</v>
      </c>
      <c r="C51" s="491" t="n">
        <v>0.00999999977648258</v>
      </c>
      <c r="D51" s="492" t="str">
        <f aca="false">IF(ISERROR(VLOOKUP($A51,'liste reference'!$A$6:$B$1174,2,0)),IF(ISERROR(VLOOKUP($A51,'liste reference'!$B$6:$B$1174,1,0)),"",VLOOKUP($A51,'liste reference'!$B$6:$B$1174,1,0)),VLOOKUP($A51,'liste reference'!$A$6:$B$1174,2,0))</f>
        <v>Gomphoneis sp.</v>
      </c>
      <c r="E51" s="493" t="e">
        <f aca="false">IF(D51="",0,VLOOKUP(D51,D$22:D50,1,0))</f>
        <v>#N/A</v>
      </c>
      <c r="F51" s="494" t="n">
        <f aca="false">IF(AND(OR(A51="",A51="!!!!!!"),B51="",C51=""),"",IF(OR(AND(B51="",C51=""),ISERROR(C51+B51)),"!!!",($B51*$B$7+$C51*$C$7)/100))</f>
        <v>0.0111333217378706</v>
      </c>
      <c r="G51" s="495" t="str">
        <f aca="false">IF(A51="","",IF(ISERROR(VLOOKUP($A51,'liste reference'!$A$6:$Q$1174,9,0)),IF(ISERROR(VLOOKUP($A51,'liste reference'!$B$6:$Q$1174,8,0)),"    -",VLOOKUP($A51,'liste reference'!$B$6:$Q$1174,8,0)),VLOOKUP($A51,'liste reference'!$A$6:$Q$1174,9,0)))</f>
        <v>ALG</v>
      </c>
      <c r="H51" s="496" t="n">
        <f aca="false">IF(A51="","x",IF(ISERROR(VLOOKUP($A51,'liste reference'!$A$6:$Q$1174,10,0)),IF(ISERROR(VLOOKUP($A51,'liste reference'!$B$6:$Q$1174,9,0)),"x",VLOOKUP($A51,'liste reference'!$B$6:$Q$1174,9,0)),VLOOKUP($A51,'liste reference'!$A$6:$Q$1174,10,0)))</f>
        <v>2</v>
      </c>
      <c r="I51" s="281" t="n">
        <f aca="false">IF(A51="","",1)</f>
        <v>1</v>
      </c>
      <c r="J51" s="497" t="str">
        <f aca="false">IF(ISNUMBER($H51),IF(ISERROR(VLOOKUP($A51,'liste reference'!$A$6:$Q$1174,6,0)),IF(ISERROR(VLOOKUP($A51,'liste reference'!$B$6:$Q$1174,5,0)),"nu",VLOOKUP($A51,'liste reference'!$B$6:$Q$1174,5,0)),VLOOKUP($A51,'liste reference'!$A$6:$Q$1174,6,0)),"nu")</f>
        <v>nc</v>
      </c>
      <c r="K51" s="497" t="str">
        <f aca="false">IF(ISNUMBER($H51),IF(ISERROR(VLOOKUP($A51,'liste reference'!$A$6:$Q$1174,7,0)),IF(ISERROR(VLOOKUP($A51,'liste reference'!$B$6:$Q$1174,6,0)),"nu",VLOOKUP($A51,'liste reference'!$B$6:$Q$1174,6,0)),VLOOKUP($A51,'liste reference'!$A$6:$Q$1174,7,0)),"nu")</f>
        <v>nc</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Gomphoneis sp.</v>
      </c>
      <c r="M51" s="498"/>
      <c r="N51" s="498"/>
      <c r="O51" s="498"/>
      <c r="P51" s="499" t="s">
        <v>3445</v>
      </c>
      <c r="Q51" s="500" t="n">
        <f aca="false">IF(OR($A51="NEWCOD",$A51="!!!!!!"),IF(X51="","NoCod",X51),IF($A51="","",IF(ISERROR(VLOOKUP($A51,'liste reference'!$A$6:$H$1174,8,0)),IF(ISERROR(VLOOKUP($A51,'liste reference'!$B$6:$H$1174,7,0)),"",VLOOKUP($A51,'liste reference'!$B$6:$H$1174,7,0)),VLOOKUP($A51,'liste reference'!$A$6:$H$1174,8,0))))</f>
        <v>9382</v>
      </c>
      <c r="R51" s="484" t="n">
        <f aca="false">IF(ISTEXT(H51),"",(B51*$B$7/100)+(C51*$C$7/100))</f>
        <v>0.0111333217378706</v>
      </c>
      <c r="S51" s="485" t="n">
        <f aca="false">IF(OR(ISTEXT(H51),R51=0),"",IF(R51&lt;0.1,1,IF(R51&lt;1,2,IF(R51&lt;10,3,IF(R51&lt;50,4,IF(R51&gt;=50,5,""))))))</f>
        <v>1</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GOMSPX</v>
      </c>
      <c r="Z51" s="470" t="n">
        <f aca="false">IF(ISERROR(MATCH(A51,'liste reference'!$A$6:$A$1174,0)),IF(ISERROR(MATCH(A51,'liste reference'!$B$6:$B$1174,0)),"",(MATCH(A51,'liste reference'!$B$6:$B$1174,0))),(MATCH(A51,'liste reference'!$A$6:$A$1174,0)))</f>
        <v>48</v>
      </c>
    </row>
    <row r="52" customFormat="false" ht="12.75" hidden="false" customHeight="false" outlineLevel="0" collapsed="false">
      <c r="A52" s="489" t="s">
        <v>1524</v>
      </c>
      <c r="B52" s="490" t="n">
        <v>0.00999999977648258</v>
      </c>
      <c r="C52" s="491" t="n">
        <v>0.00999999977648258</v>
      </c>
      <c r="D52" s="492" t="str">
        <f aca="false">IF(ISERROR(VLOOKUP($A52,'liste reference'!$A$6:$B$1174,2,0)),IF(ISERROR(VLOOKUP($A52,'liste reference'!$B$6:$B$1174,1,0)),"",VLOOKUP($A52,'liste reference'!$B$6:$B$1174,1,0)),VLOOKUP($A52,'liste reference'!$A$6:$B$1174,2,0))</f>
        <v>Lemna minuta</v>
      </c>
      <c r="E52" s="493" t="e">
        <f aca="false">IF(D52="",0,VLOOKUP(D52,D$22:D51,1,0))</f>
        <v>#N/A</v>
      </c>
      <c r="F52" s="494" t="n">
        <f aca="false">IF(AND(OR(A52="",A52="!!!!!!"),B52="",C52=""),"",IF(OR(AND(B52="",C52=""),ISERROR(C52+B52)),"!!!",($B52*$B$7+$C52*$C$7)/100))</f>
        <v>0.00999999977648258</v>
      </c>
      <c r="G52" s="495" t="str">
        <f aca="false">IF(A52="","",IF(ISERROR(VLOOKUP($A52,'liste reference'!$A$6:$Q$1174,9,0)),IF(ISERROR(VLOOKUP($A52,'liste reference'!$B$6:$Q$1174,8,0)),"    -",VLOOKUP($A52,'liste reference'!$B$6:$Q$1174,8,0)),VLOOKUP($A52,'liste reference'!$A$6:$Q$1174,9,0)))</f>
        <v>PHy</v>
      </c>
      <c r="H52" s="496" t="n">
        <f aca="false">IF(A52="","x",IF(ISERROR(VLOOKUP($A52,'liste reference'!$A$6:$Q$1174,10,0)),IF(ISERROR(VLOOKUP($A52,'liste reference'!$B$6:$Q$1174,9,0)),"x",VLOOKUP($A52,'liste reference'!$B$6:$Q$1174,9,0)),VLOOKUP($A52,'liste reference'!$A$6:$Q$1174,10,0)))</f>
        <v>7</v>
      </c>
      <c r="I52" s="281" t="n">
        <f aca="false">IF(A52="","",1)</f>
        <v>1</v>
      </c>
      <c r="J52" s="497" t="str">
        <f aca="false">IF(ISNUMBER($H52),IF(ISERROR(VLOOKUP($A52,'liste reference'!$A$6:$Q$1174,6,0)),IF(ISERROR(VLOOKUP($A52,'liste reference'!$B$6:$Q$1174,5,0)),"nu",VLOOKUP($A52,'liste reference'!$B$6:$Q$1174,5,0)),VLOOKUP($A52,'liste reference'!$A$6:$Q$1174,6,0)),"nu")</f>
        <v>nc</v>
      </c>
      <c r="K52" s="497" t="str">
        <f aca="false">IF(ISNUMBER($H52),IF(ISERROR(VLOOKUP($A52,'liste reference'!$A$6:$Q$1174,7,0)),IF(ISERROR(VLOOKUP($A52,'liste reference'!$B$6:$Q$1174,6,0)),"nu",VLOOKUP($A52,'liste reference'!$B$6:$Q$1174,6,0)),VLOOKUP($A52,'liste reference'!$A$6:$Q$1174,7,0)),"nu")</f>
        <v>nc</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Lemna minuta</v>
      </c>
      <c r="M52" s="498"/>
      <c r="N52" s="498"/>
      <c r="O52" s="498"/>
      <c r="P52" s="499" t="s">
        <v>3445</v>
      </c>
      <c r="Q52" s="500" t="n">
        <f aca="false">IF(OR($A52="NEWCOD",$A52="!!!!!!"),IF(X52="","NoCod",X52),IF($A52="","",IF(ISERROR(VLOOKUP($A52,'liste reference'!$A$6:$H$1174,8,0)),IF(ISERROR(VLOOKUP($A52,'liste reference'!$B$6:$H$1174,7,0)),"",VLOOKUP($A52,'liste reference'!$B$6:$H$1174,7,0)),VLOOKUP($A52,'liste reference'!$A$6:$H$1174,8,0))))</f>
        <v>29962</v>
      </c>
      <c r="R52" s="484" t="n">
        <f aca="false">IF(ISTEXT(H52),"",(B52*$B$7/100)+(C52*$C$7/100))</f>
        <v>0.00999999977648258</v>
      </c>
      <c r="S52" s="485" t="n">
        <f aca="false">IF(OR(ISTEXT(H52),R52=0),"",IF(R52&lt;0.1,1,IF(R52&lt;1,2,IF(R52&lt;10,3,IF(R52&lt;50,4,IF(R52&gt;=50,5,""))))))</f>
        <v>1</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LEMMIT</v>
      </c>
      <c r="Z52" s="470" t="n">
        <f aca="false">IF(ISERROR(MATCH(A52,'liste reference'!$A$6:$A$1174,0)),IF(ISERROR(MATCH(A52,'liste reference'!$B$6:$B$1174,0)),"",(MATCH(A52,'liste reference'!$B$6:$B$1174,0))),(MATCH(A52,'liste reference'!$A$6:$A$1174,0)))</f>
        <v>474</v>
      </c>
    </row>
    <row r="53" customFormat="false" ht="12.75" hidden="false" customHeight="false" outlineLevel="0" collapsed="false">
      <c r="A53" s="489" t="s">
        <v>2705</v>
      </c>
      <c r="B53" s="490" t="n">
        <v>0.00999999977648258</v>
      </c>
      <c r="C53" s="491" t="n">
        <v>0.00999999977648258</v>
      </c>
      <c r="D53" s="492" t="str">
        <f aca="false">IF(ISERROR(VLOOKUP($A53,'liste reference'!$A$6:$B$1174,2,0)),IF(ISERROR(VLOOKUP($A53,'liste reference'!$B$6:$B$1174,1,0)),"",VLOOKUP($A53,'liste reference'!$B$6:$B$1174,1,0)),VLOOKUP($A53,'liste reference'!$A$6:$B$1174,2,0))</f>
        <v>Mentha suaveolens</v>
      </c>
      <c r="E53" s="493" t="e">
        <f aca="false">IF(D53="",0,VLOOKUP(D53,D$22:D52,1,0))</f>
        <v>#N/A</v>
      </c>
      <c r="F53" s="494" t="n">
        <f aca="false">IF(AND(OR(A53="",A53="!!!!!!"),B53="",C53=""),"",IF(OR(AND(B53="",C53=""),ISERROR(C53+B53)),"!!!",($B53*$B$7+$C53*$C$7)/100))</f>
        <v>0.00999999977648258</v>
      </c>
      <c r="G53" s="495" t="str">
        <f aca="false">IF(A53="","",IF(ISERROR(VLOOKUP($A53,'liste reference'!$A$6:$Q$1174,9,0)),IF(ISERROR(VLOOKUP($A53,'liste reference'!$B$6:$Q$1174,8,0)),"    -",VLOOKUP($A53,'liste reference'!$B$6:$Q$1174,8,0)),VLOOKUP($A53,'liste reference'!$A$6:$Q$1174,9,0)))</f>
        <v>PHg</v>
      </c>
      <c r="H53" s="496" t="n">
        <f aca="false">IF(A53="","x",IF(ISERROR(VLOOKUP($A53,'liste reference'!$A$6:$Q$1174,10,0)),IF(ISERROR(VLOOKUP($A53,'liste reference'!$B$6:$Q$1174,9,0)),"x",VLOOKUP($A53,'liste reference'!$B$6:$Q$1174,9,0)),VLOOKUP($A53,'liste reference'!$A$6:$Q$1174,10,0)))</f>
        <v>9</v>
      </c>
      <c r="I53" s="281" t="n">
        <f aca="false">IF(A53="","",1)</f>
        <v>1</v>
      </c>
      <c r="J53" s="497" t="str">
        <f aca="false">IF(ISNUMBER($H53),IF(ISERROR(VLOOKUP($A53,'liste reference'!$A$6:$Q$1174,6,0)),IF(ISERROR(VLOOKUP($A53,'liste reference'!$B$6:$Q$1174,5,0)),"nu",VLOOKUP($A53,'liste reference'!$B$6:$Q$1174,5,0)),VLOOKUP($A53,'liste reference'!$A$6:$Q$1174,6,0)),"nu")</f>
        <v>nc</v>
      </c>
      <c r="K53" s="497" t="str">
        <f aca="false">IF(ISNUMBER($H53),IF(ISERROR(VLOOKUP($A53,'liste reference'!$A$6:$Q$1174,7,0)),IF(ISERROR(VLOOKUP($A53,'liste reference'!$B$6:$Q$1174,6,0)),"nu",VLOOKUP($A53,'liste reference'!$B$6:$Q$1174,6,0)),VLOOKUP($A53,'liste reference'!$A$6:$Q$1174,7,0)),"nu")</f>
        <v>nc</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Mentha suaveolens</v>
      </c>
      <c r="M53" s="498"/>
      <c r="N53" s="498"/>
      <c r="O53" s="498"/>
      <c r="P53" s="499" t="s">
        <v>3445</v>
      </c>
      <c r="Q53" s="500" t="n">
        <f aca="false">IF(OR($A53="NEWCOD",$A53="!!!!!!"),IF(X53="","NoCod",X53),IF($A53="","",IF(ISERROR(VLOOKUP($A53,'liste reference'!$A$6:$H$1174,8,0)),IF(ISERROR(VLOOKUP($A53,'liste reference'!$B$6:$H$1174,7,0)),"",VLOOKUP($A53,'liste reference'!$B$6:$H$1174,7,0)),VLOOKUP($A53,'liste reference'!$A$6:$H$1174,8,0))))</f>
        <v>29952</v>
      </c>
      <c r="R53" s="484" t="n">
        <f aca="false">IF(ISTEXT(H53),"",(B53*$B$7/100)+(C53*$C$7/100))</f>
        <v>0.00999999977648258</v>
      </c>
      <c r="S53" s="485" t="n">
        <f aca="false">IF(OR(ISTEXT(H53),R53=0),"",IF(R53&lt;0.1,1,IF(R53&lt;1,2,IF(R53&lt;10,3,IF(R53&lt;50,4,IF(R53&gt;=50,5,""))))))</f>
        <v>1</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MENSUA</v>
      </c>
      <c r="Z53" s="470" t="n">
        <f aca="false">IF(ISERROR(MATCH(A53,'liste reference'!$A$6:$A$1174,0)),IF(ISERROR(MATCH(A53,'liste reference'!$B$6:$B$1174,0)),"",(MATCH(A53,'liste reference'!$B$6:$B$1174,0))),(MATCH(A53,'liste reference'!$A$6:$A$1174,0)))</f>
        <v>905</v>
      </c>
    </row>
    <row r="54" customFormat="false" ht="12.75" hidden="false" customHeight="false" outlineLevel="0" collapsed="false">
      <c r="A54" s="489" t="s">
        <v>3246</v>
      </c>
      <c r="B54" s="490" t="n">
        <v>0</v>
      </c>
      <c r="C54" s="491" t="n">
        <v>0.00999999977648258</v>
      </c>
      <c r="D54" s="492" t="str">
        <f aca="false">IF(ISERROR(VLOOKUP($A54,'liste reference'!$A$6:$B$1174,2,0)),IF(ISERROR(VLOOKUP($A54,'liste reference'!$B$6:$B$1174,1,0)),"",VLOOKUP($A54,'liste reference'!$B$6:$B$1174,1,0)),VLOOKUP($A54,'liste reference'!$A$6:$B$1174,2,0))</f>
        <v>Potentilla reptans</v>
      </c>
      <c r="E54" s="493" t="e">
        <f aca="false">IF(D54="",0,VLOOKUP(D54,D$22:D53,1,0))</f>
        <v>#N/A</v>
      </c>
      <c r="F54" s="494" t="n">
        <f aca="false">IF(AND(OR(A54="",A54="!!!!!!"),B54="",C54=""),"",IF(OR(AND(B54="",C54=""),ISERROR(C54+B54)),"!!!",($B54*$B$7+$C54*$C$7)/100))</f>
        <v>0.00489999989047647</v>
      </c>
      <c r="G54" s="495" t="str">
        <f aca="false">IF(A54="","",IF(ISERROR(VLOOKUP($A54,'liste reference'!$A$6:$Q$1174,9,0)),IF(ISERROR(VLOOKUP($A54,'liste reference'!$B$6:$Q$1174,8,0)),"    -",VLOOKUP($A54,'liste reference'!$B$6:$Q$1174,8,0)),VLOOKUP($A54,'liste reference'!$A$6:$Q$1174,9,0)))</f>
        <v>PHx</v>
      </c>
      <c r="H54" s="496" t="n">
        <f aca="false">IF(A54="","x",IF(ISERROR(VLOOKUP($A54,'liste reference'!$A$6:$Q$1174,10,0)),IF(ISERROR(VLOOKUP($A54,'liste reference'!$B$6:$Q$1174,9,0)),"x",VLOOKUP($A54,'liste reference'!$B$6:$Q$1174,9,0)),VLOOKUP($A54,'liste reference'!$A$6:$Q$1174,10,0)))</f>
        <v>10</v>
      </c>
      <c r="I54" s="281" t="n">
        <f aca="false">IF(A54="","",1)</f>
        <v>1</v>
      </c>
      <c r="J54" s="497" t="str">
        <f aca="false">IF(ISNUMBER($H54),IF(ISERROR(VLOOKUP($A54,'liste reference'!$A$6:$Q$1174,6,0)),IF(ISERROR(VLOOKUP($A54,'liste reference'!$B$6:$Q$1174,5,0)),"nu",VLOOKUP($A54,'liste reference'!$B$6:$Q$1174,5,0)),VLOOKUP($A54,'liste reference'!$A$6:$Q$1174,6,0)),"nu")</f>
        <v>nc</v>
      </c>
      <c r="K54" s="497" t="str">
        <f aca="false">IF(ISNUMBER($H54),IF(ISERROR(VLOOKUP($A54,'liste reference'!$A$6:$Q$1174,7,0)),IF(ISERROR(VLOOKUP($A54,'liste reference'!$B$6:$Q$1174,6,0)),"nu",VLOOKUP($A54,'liste reference'!$B$6:$Q$1174,6,0)),VLOOKUP($A54,'liste reference'!$A$6:$Q$1174,7,0)),"nu")</f>
        <v>nc</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Potentilla reptans</v>
      </c>
      <c r="M54" s="498"/>
      <c r="N54" s="498"/>
      <c r="O54" s="498"/>
      <c r="P54" s="499" t="s">
        <v>3445</v>
      </c>
      <c r="Q54" s="500" t="n">
        <f aca="false">IF(OR($A54="NEWCOD",$A54="!!!!!!"),IF(X54="","NoCod",X54),IF($A54="","",IF(ISERROR(VLOOKUP($A54,'liste reference'!$A$6:$H$1174,8,0)),IF(ISERROR(VLOOKUP($A54,'liste reference'!$B$6:$H$1174,7,0)),"",VLOOKUP($A54,'liste reference'!$B$6:$H$1174,7,0)),VLOOKUP($A54,'liste reference'!$A$6:$H$1174,8,0))))</f>
        <v>29945</v>
      </c>
      <c r="R54" s="484" t="n">
        <f aca="false">IF(ISTEXT(H54),"",(B54*$B$7/100)+(C54*$C$7/100))</f>
        <v>0.00489999989047647</v>
      </c>
      <c r="S54" s="485" t="n">
        <f aca="false">IF(OR(ISTEXT(H54),R54=0),"",IF(R54&lt;0.1,1,IF(R54&lt;1,2,IF(R54&lt;10,3,IF(R54&lt;50,4,IF(R54&gt;=50,5,""))))))</f>
        <v>1</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POEREP</v>
      </c>
      <c r="Z54" s="470" t="n">
        <f aca="false">IF(ISERROR(MATCH(A54,'liste reference'!$A$6:$A$1174,0)),IF(ISERROR(MATCH(A54,'liste reference'!$B$6:$B$1174,0)),"",(MATCH(A54,'liste reference'!$B$6:$B$1174,0))),(MATCH(A54,'liste reference'!$A$6:$A$1174,0)))</f>
        <v>1125</v>
      </c>
    </row>
    <row r="55" customFormat="false" ht="12.75" hidden="false" customHeight="false" outlineLevel="0" collapsed="false">
      <c r="A55" s="489" t="s">
        <v>2888</v>
      </c>
      <c r="B55" s="490" t="n">
        <v>0</v>
      </c>
      <c r="C55" s="491" t="n">
        <v>0.00999999977648258</v>
      </c>
      <c r="D55" s="492" t="str">
        <f aca="false">IF(ISERROR(VLOOKUP($A55,'liste reference'!$A$6:$B$1174,2,0)),IF(ISERROR(VLOOKUP($A55,'liste reference'!$B$6:$B$1174,1,0)),"",VLOOKUP($A55,'liste reference'!$B$6:$B$1174,1,0)),VLOOKUP($A55,'liste reference'!$A$6:$B$1174,2,0))</f>
        <v>Solanum dulcamara</v>
      </c>
      <c r="E55" s="493" t="e">
        <f aca="false">IF(D55="",0,VLOOKUP(D55,D$22:D54,1,0))</f>
        <v>#N/A</v>
      </c>
      <c r="F55" s="494" t="n">
        <f aca="false">IF(AND(OR(A55="",A55="!!!!!!"),B55="",C55=""),"",IF(OR(AND(B55="",C55=""),ISERROR(C55+B55)),"!!!",($B55*$B$7+$C55*$C$7)/100))</f>
        <v>0.00489999989047647</v>
      </c>
      <c r="G55" s="495" t="str">
        <f aca="false">IF(A55="","",IF(ISERROR(VLOOKUP($A55,'liste reference'!$A$6:$Q$1174,9,0)),IF(ISERROR(VLOOKUP($A55,'liste reference'!$B$6:$Q$1174,8,0)),"    -",VLOOKUP($A55,'liste reference'!$B$6:$Q$1174,8,0)),VLOOKUP($A55,'liste reference'!$A$6:$Q$1174,9,0)))</f>
        <v>PHg</v>
      </c>
      <c r="H55" s="496" t="n">
        <f aca="false">IF(A55="","x",IF(ISERROR(VLOOKUP($A55,'liste reference'!$A$6:$Q$1174,10,0)),IF(ISERROR(VLOOKUP($A55,'liste reference'!$B$6:$Q$1174,9,0)),"x",VLOOKUP($A55,'liste reference'!$B$6:$Q$1174,9,0)),VLOOKUP($A55,'liste reference'!$A$6:$Q$1174,10,0)))</f>
        <v>9</v>
      </c>
      <c r="I55" s="281" t="n">
        <f aca="false">IF(A55="","",1)</f>
        <v>1</v>
      </c>
      <c r="J55" s="497" t="str">
        <f aca="false">IF(ISNUMBER($H55),IF(ISERROR(VLOOKUP($A55,'liste reference'!$A$6:$Q$1174,6,0)),IF(ISERROR(VLOOKUP($A55,'liste reference'!$B$6:$Q$1174,5,0)),"nu",VLOOKUP($A55,'liste reference'!$B$6:$Q$1174,5,0)),VLOOKUP($A55,'liste reference'!$A$6:$Q$1174,6,0)),"nu")</f>
        <v>nc</v>
      </c>
      <c r="K55" s="497" t="str">
        <f aca="false">IF(ISNUMBER($H55),IF(ISERROR(VLOOKUP($A55,'liste reference'!$A$6:$Q$1174,7,0)),IF(ISERROR(VLOOKUP($A55,'liste reference'!$B$6:$Q$1174,6,0)),"nu",VLOOKUP($A55,'liste reference'!$B$6:$Q$1174,6,0)),VLOOKUP($A55,'liste reference'!$A$6:$Q$1174,7,0)),"nu")</f>
        <v>nc</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Solanum dulcamara</v>
      </c>
      <c r="M55" s="498"/>
      <c r="N55" s="498"/>
      <c r="O55" s="498"/>
      <c r="P55" s="499" t="s">
        <v>3445</v>
      </c>
      <c r="Q55" s="500" t="n">
        <f aca="false">IF(OR($A55="NEWCOD",$A55="!!!!!!"),IF(X55="","NoCod",X55),IF($A55="","",IF(ISERROR(VLOOKUP($A55,'liste reference'!$A$6:$H$1174,8,0)),IF(ISERROR(VLOOKUP($A55,'liste reference'!$B$6:$H$1174,7,0)),"",VLOOKUP($A55,'liste reference'!$B$6:$H$1174,7,0)),VLOOKUP($A55,'liste reference'!$A$6:$H$1174,8,0))))</f>
        <v>1964</v>
      </c>
      <c r="R55" s="484" t="n">
        <f aca="false">IF(ISTEXT(H55),"",(B55*$B$7/100)+(C55*$C$7/100))</f>
        <v>0.00489999989047647</v>
      </c>
      <c r="S55" s="485" t="n">
        <f aca="false">IF(OR(ISTEXT(H55),R55=0),"",IF(R55&lt;0.1,1,IF(R55&lt;1,2,IF(R55&lt;10,3,IF(R55&lt;50,4,IF(R55&gt;=50,5,""))))))</f>
        <v>1</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SOADUL</v>
      </c>
      <c r="Z55" s="470" t="n">
        <f aca="false">IF(ISERROR(MATCH(A55,'liste reference'!$A$6:$A$1174,0)),IF(ISERROR(MATCH(A55,'liste reference'!$B$6:$B$1174,0)),"",(MATCH(A55,'liste reference'!$B$6:$B$1174,0))),(MATCH(A55,'liste reference'!$A$6:$A$1174,0)))</f>
        <v>969</v>
      </c>
    </row>
    <row r="56" customFormat="false" ht="12.75" hidden="false" customHeight="false" outlineLevel="0" collapsed="false">
      <c r="A56" s="489" t="s">
        <v>2896</v>
      </c>
      <c r="B56" s="490" t="n">
        <v>0</v>
      </c>
      <c r="C56" s="491" t="n">
        <v>0.00999999977648258</v>
      </c>
      <c r="D56" s="492" t="str">
        <f aca="false">IF(ISERROR(VLOOKUP($A56,'liste reference'!$A$6:$B$1174,2,0)),IF(ISERROR(VLOOKUP($A56,'liste reference'!$B$6:$B$1174,1,0)),"",VLOOKUP($A56,'liste reference'!$B$6:$B$1174,1,0)),VLOOKUP($A56,'liste reference'!$A$6:$B$1174,2,0))</f>
        <v>Stachys palustris</v>
      </c>
      <c r="E56" s="493" t="e">
        <f aca="false">IF(D56="",0,VLOOKUP(D56,D$22:D55,1,0))</f>
        <v>#N/A</v>
      </c>
      <c r="F56" s="494" t="n">
        <f aca="false">IF(AND(OR(A56="",A56="!!!!!!"),B56="",C56=""),"",IF(OR(AND(B56="",C56=""),ISERROR(C56+B56)),"!!!",($B56*$B$7+$C56*$C$7)/100))</f>
        <v>0.00489999989047647</v>
      </c>
      <c r="G56" s="495" t="str">
        <f aca="false">IF(A56="","",IF(ISERROR(VLOOKUP($A56,'liste reference'!$A$6:$Q$1174,9,0)),IF(ISERROR(VLOOKUP($A56,'liste reference'!$B$6:$Q$1174,8,0)),"    -",VLOOKUP($A56,'liste reference'!$B$6:$Q$1174,8,0)),VLOOKUP($A56,'liste reference'!$A$6:$Q$1174,9,0)))</f>
        <v>PHg</v>
      </c>
      <c r="H56" s="496" t="n">
        <f aca="false">IF(A56="","x",IF(ISERROR(VLOOKUP($A56,'liste reference'!$A$6:$Q$1174,10,0)),IF(ISERROR(VLOOKUP($A56,'liste reference'!$B$6:$Q$1174,9,0)),"x",VLOOKUP($A56,'liste reference'!$B$6:$Q$1174,9,0)),VLOOKUP($A56,'liste reference'!$A$6:$Q$1174,10,0)))</f>
        <v>9</v>
      </c>
      <c r="I56" s="281" t="n">
        <f aca="false">IF(A56="","",1)</f>
        <v>1</v>
      </c>
      <c r="J56" s="497" t="str">
        <f aca="false">IF(ISNUMBER($H56),IF(ISERROR(VLOOKUP($A56,'liste reference'!$A$6:$Q$1174,6,0)),IF(ISERROR(VLOOKUP($A56,'liste reference'!$B$6:$Q$1174,5,0)),"nu",VLOOKUP($A56,'liste reference'!$B$6:$Q$1174,5,0)),VLOOKUP($A56,'liste reference'!$A$6:$Q$1174,6,0)),"nu")</f>
        <v>nc</v>
      </c>
      <c r="K56" s="497" t="str">
        <f aca="false">IF(ISNUMBER($H56),IF(ISERROR(VLOOKUP($A56,'liste reference'!$A$6:$Q$1174,7,0)),IF(ISERROR(VLOOKUP($A56,'liste reference'!$B$6:$Q$1174,6,0)),"nu",VLOOKUP($A56,'liste reference'!$B$6:$Q$1174,6,0)),VLOOKUP($A56,'liste reference'!$A$6:$Q$1174,7,0)),"nu")</f>
        <v>nc</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Stachys palustris</v>
      </c>
      <c r="M56" s="498"/>
      <c r="N56" s="498"/>
      <c r="O56" s="498"/>
      <c r="P56" s="499" t="s">
        <v>3445</v>
      </c>
      <c r="Q56" s="500" t="n">
        <f aca="false">IF(OR($A56="NEWCOD",$A56="!!!!!!"),IF(X56="","NoCod",X56),IF($A56="","",IF(ISERROR(VLOOKUP($A56,'liste reference'!$A$6:$H$1174,8,0)),IF(ISERROR(VLOOKUP($A56,'liste reference'!$B$6:$H$1174,7,0)),"",VLOOKUP($A56,'liste reference'!$B$6:$H$1174,7,0)),VLOOKUP($A56,'liste reference'!$A$6:$H$1174,8,0))))</f>
        <v>1799</v>
      </c>
      <c r="R56" s="484" t="n">
        <f aca="false">IF(ISTEXT(H56),"",(B56*$B$7/100)+(C56*$C$7/100))</f>
        <v>0.00489999989047647</v>
      </c>
      <c r="S56" s="485" t="n">
        <f aca="false">IF(OR(ISTEXT(H56),R56=0),"",IF(R56&lt;0.1,1,IF(R56&lt;1,2,IF(R56&lt;10,3,IF(R56&lt;50,4,IF(R56&gt;=50,5,""))))))</f>
        <v>1</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STAPAL</v>
      </c>
      <c r="Z56" s="470" t="n">
        <f aca="false">IF(ISERROR(MATCH(A56,'liste reference'!$A$6:$A$1174,0)),IF(ISERROR(MATCH(A56,'liste reference'!$B$6:$B$1174,0)),"",(MATCH(A56,'liste reference'!$B$6:$B$1174,0))),(MATCH(A56,'liste reference'!$A$6:$A$1174,0)))</f>
        <v>972</v>
      </c>
    </row>
    <row r="57" customFormat="false" ht="12.75" hidden="false" customHeight="false" outlineLevel="0" collapsed="false">
      <c r="A57" s="489" t="s">
        <v>3462</v>
      </c>
      <c r="B57" s="490" t="n">
        <v>0</v>
      </c>
      <c r="C57" s="491" t="n">
        <v>0.00999999977648258</v>
      </c>
      <c r="D57" s="492" t="str">
        <f aca="false">IF(ISERROR(VLOOKUP($A57,'liste reference'!$A$6:$B$1174,2,0)),IF(ISERROR(VLOOKUP($A57,'liste reference'!$B$6:$B$1174,1,0)),"",VLOOKUP($A57,'liste reference'!$B$6:$B$1174,1,0)),VLOOKUP($A57,'liste reference'!$A$6:$B$1174,2,0))</f>
        <v/>
      </c>
      <c r="E57" s="493" t="n">
        <f aca="false">IF(D57="",0,VLOOKUP(D57,D$22:D56,1,0))</f>
        <v>0</v>
      </c>
      <c r="F57" s="494" t="n">
        <f aca="false">IF(AND(OR(A57="",A57="!!!!!!"),B57="",C57=""),"",IF(OR(AND(B57="",C57=""),ISERROR(C57+B57)),"!!!",($B57*$B$7+$C57*$C$7)/100))</f>
        <v>0.00489999989047647</v>
      </c>
      <c r="G57" s="495" t="str">
        <f aca="false">IF(A57="","",IF(ISERROR(VLOOKUP($A57,'liste reference'!$A$6:$Q$1174,9,0)),IF(ISERROR(VLOOKUP($A57,'liste reference'!$B$6:$Q$1174,8,0)),"    -",VLOOKUP($A57,'liste reference'!$B$6:$Q$1174,8,0)),VLOOKUP($A57,'liste reference'!$A$6:$Q$1174,9,0)))</f>
        <v>    -</v>
      </c>
      <c r="H57" s="496" t="str">
        <f aca="false">IF(A57="","x",IF(ISERROR(VLOOKUP($A57,'liste reference'!$A$6:$Q$1174,10,0)),IF(ISERROR(VLOOKUP($A57,'liste reference'!$B$6:$Q$1174,9,0)),"x",VLOOKUP($A57,'liste reference'!$B$6:$Q$1174,9,0)),VLOOKUP($A57,'liste reference'!$A$6:$Q$1174,10,0)))</f>
        <v>x</v>
      </c>
      <c r="I57" s="281" t="n">
        <f aca="false">IF(A57="","",1)</f>
        <v>1</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Cyperaceae</v>
      </c>
      <c r="M57" s="498"/>
      <c r="N57" s="498"/>
      <c r="O57" s="498"/>
      <c r="P57" s="499" t="s">
        <v>3445</v>
      </c>
      <c r="Q57" s="500" t="str">
        <f aca="false">IF(OR($A57="NEWCOD",$A57="!!!!!!"),IF(X57="","NoCod",X57),IF($A57="","",IF(ISERROR(VLOOKUP($A57,'liste reference'!$A$6:$H$1174,8,0)),IF(ISERROR(VLOOKUP($A57,'liste reference'!$B$6:$H$1174,7,0)),"",VLOOKUP($A57,'liste reference'!$B$6:$H$1174,7,0)),VLOOKUP($A57,'liste reference'!$A$6:$H$1174,8,0))))</f>
        <v>NoCod</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t="s">
        <v>3463</v>
      </c>
      <c r="X57" s="503"/>
      <c r="Y57" s="488" t="str">
        <f aca="false">IF(AND(ISNUMBER(F57),OR(A57="",A57="!!!!!!")),"!!!!!!",IF(A57="new.cod","NEWCOD",IF(AND((Z57=""),ISTEXT(A57),A57&lt;&gt;"!!!!!!"),A57,IF(Z57="","",INDEX('liste reference'!$A$6:$A$1174,Z57)))))</f>
        <v>NEWCOD</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fals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fals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fals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fals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fals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fals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fals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fals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fals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fals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fals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fals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fals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fals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fals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fals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fals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fals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fals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fals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2.63186669575982</v>
      </c>
      <c r="G83" s="424"/>
      <c r="H83" s="424"/>
      <c r="I83" s="424"/>
      <c r="J83" s="424"/>
      <c r="K83" s="424"/>
      <c r="L83" s="424"/>
      <c r="M83" s="485"/>
      <c r="N83" s="485"/>
      <c r="O83" s="485"/>
      <c r="P83" s="485"/>
      <c r="Q83" s="485"/>
      <c r="R83" s="485"/>
      <c r="S83" s="485"/>
      <c r="T83" s="485"/>
      <c r="U83" s="485"/>
      <c r="V83" s="485" t="n">
        <f aca="false">SUM(V23:V82)</f>
        <v>50</v>
      </c>
      <c r="W83" s="485"/>
      <c r="X83" s="523"/>
      <c r="Y83" s="523"/>
      <c r="Z83" s="524"/>
    </row>
    <row r="84" customFormat="false" ht="12.75" hidden="true" customHeight="false" outlineLevel="0" collapsed="false">
      <c r="A84" s="518" t="str">
        <f aca="false">A3</f>
        <v>ECHEZ</v>
      </c>
      <c r="B84" s="453" t="str">
        <f aca="false">C3</f>
        <v>L'Echez à Maubourguet</v>
      </c>
      <c r="C84" s="525" t="str">
        <f aca="false">A4</f>
        <v>(Date)</v>
      </c>
      <c r="D84" s="526" t="n">
        <f aca="false">IF(OR(ISERROR(SUM($U$23:$U$82)/SUM($V$23:$V$82)),F7&lt;&gt;100),-1,SUM($U$23:$U$82)/SUM($V$23:$V$82))</f>
        <v>10.02</v>
      </c>
      <c r="E84" s="527" t="n">
        <f aca="false">O13</f>
        <v>35</v>
      </c>
      <c r="F84" s="453" t="n">
        <f aca="false">O14</f>
        <v>27</v>
      </c>
      <c r="G84" s="453" t="n">
        <f aca="false">O15</f>
        <v>12</v>
      </c>
      <c r="H84" s="453" t="n">
        <f aca="false">O16</f>
        <v>15</v>
      </c>
      <c r="I84" s="453" t="n">
        <f aca="false">O17</f>
        <v>0</v>
      </c>
      <c r="J84" s="528" t="n">
        <f aca="false">O8</f>
        <v>9.96296296296296</v>
      </c>
      <c r="K84" s="529" t="n">
        <f aca="false">O9</f>
        <v>2.80847238668576</v>
      </c>
      <c r="L84" s="530" t="n">
        <f aca="false">O10</f>
        <v>4</v>
      </c>
      <c r="M84" s="530" t="n">
        <f aca="false">O11</f>
        <v>15</v>
      </c>
      <c r="N84" s="529" t="n">
        <f aca="false">P8</f>
        <v>1.55555555555556</v>
      </c>
      <c r="O84" s="529" t="n">
        <f aca="false">P9</f>
        <v>0.496903994999953</v>
      </c>
      <c r="P84" s="530" t="n">
        <f aca="false">P10</f>
        <v>1</v>
      </c>
      <c r="Q84" s="530" t="n">
        <f aca="false">P11</f>
        <v>2</v>
      </c>
      <c r="R84" s="530" t="n">
        <f aca="false">F21</f>
        <v>2.63186669575982</v>
      </c>
      <c r="S84" s="530" t="n">
        <f aca="false">L11</f>
        <v>0</v>
      </c>
      <c r="T84" s="530" t="n">
        <f aca="false">L12</f>
        <v>10</v>
      </c>
      <c r="U84" s="530" t="n">
        <f aca="false">L13</f>
        <v>7</v>
      </c>
      <c r="V84" s="531" t="n">
        <f aca="false">L15</f>
        <v>17</v>
      </c>
      <c r="W84" s="532" t="n">
        <f aca="false">L15</f>
        <v>17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n">
        <f aca="false">VLOOKUP($T$91,($A$23:$U$82),20,0)</f>
        <v>10</v>
      </c>
      <c r="U87" s="281"/>
      <c r="V87" s="281"/>
    </row>
    <row r="88" customFormat="false" ht="12.75" hidden="true" customHeight="false" outlineLevel="0" collapsed="false">
      <c r="C88" s="534"/>
      <c r="D88" s="534"/>
      <c r="E88" s="534"/>
      <c r="R88" s="281" t="s">
        <v>3448</v>
      </c>
      <c r="S88" s="281"/>
      <c r="T88" s="536" t="n">
        <f aca="false">VLOOKUP($T$91,($A$23:$U$82),21,0)</f>
        <v>20</v>
      </c>
      <c r="U88" s="281"/>
      <c r="V88" s="281" t="n">
        <f aca="false">COUNTIF(V23:V82,T89)</f>
        <v>3</v>
      </c>
    </row>
    <row r="89" customFormat="false" ht="12.75" hidden="true" customHeight="false" outlineLevel="0" collapsed="false">
      <c r="C89" s="534"/>
      <c r="D89" s="534"/>
      <c r="E89" s="534"/>
      <c r="R89" s="281" t="s">
        <v>3449</v>
      </c>
      <c r="S89" s="281"/>
      <c r="T89" s="536" t="n">
        <f aca="false">MAX($V$23:$V$82)</f>
        <v>4</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10.4565217391304</v>
      </c>
      <c r="U90" s="281" t="n">
        <f aca="false">IF(ISERROR(T90),0,1)</f>
        <v>1</v>
      </c>
      <c r="V90" s="0"/>
    </row>
    <row r="91" customFormat="false" ht="12.75" hidden="true" customHeight="false" outlineLevel="0" collapsed="false">
      <c r="C91" s="534"/>
      <c r="D91" s="534"/>
      <c r="E91" s="534"/>
      <c r="R91" s="485" t="s">
        <v>3452</v>
      </c>
      <c r="S91" s="485"/>
      <c r="T91" s="485" t="str">
        <f aca="false">INDEX('liste reference'!$A$6:$A$1174,$U$91)</f>
        <v>LEORIP</v>
      </c>
      <c r="U91" s="281" t="n">
        <f aca="false">IF(ISERROR(MATCH($T$93,'liste reference'!$A$6:$A$1174,0)),MATCH($T$93,'liste reference'!$B$6:$B$1174,0),(MATCH($T$93,'liste reference'!$A$6:$A$1174,0)))</f>
        <v>298</v>
      </c>
      <c r="V91" s="538"/>
    </row>
    <row r="92" customFormat="false" ht="12.75" hidden="true" customHeight="false" outlineLevel="0" collapsed="false">
      <c r="C92" s="534"/>
      <c r="D92" s="534"/>
      <c r="E92" s="534"/>
      <c r="R92" s="281" t="s">
        <v>3453</v>
      </c>
      <c r="S92" s="281"/>
      <c r="T92" s="281" t="n">
        <f aca="false">MATCH(T89,$V$23:$V$82,0)</f>
        <v>2</v>
      </c>
      <c r="U92" s="281"/>
    </row>
    <row r="93" customFormat="false" ht="12.75" hidden="true" customHeight="false" outlineLevel="0" collapsed="false">
      <c r="C93" s="534"/>
      <c r="D93" s="534"/>
      <c r="E93" s="534"/>
      <c r="R93" s="485" t="s">
        <v>3454</v>
      </c>
      <c r="S93" s="281"/>
      <c r="T93" s="485" t="str">
        <f aca="false">INDEX($A$23:$A$82,$T$92)</f>
        <v>LEORIP</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3359</v>
      </c>
      <c r="F1" s="543" t="s">
        <v>3465</v>
      </c>
      <c r="G1" s="544"/>
      <c r="H1" s="544"/>
      <c r="I1" s="545"/>
      <c r="J1" s="545"/>
      <c r="K1" s="545"/>
      <c r="L1" s="546"/>
    </row>
    <row r="2" customFormat="false" ht="15" hidden="false" customHeight="false" outlineLevel="0" collapsed="false">
      <c r="A2" s="547" t="s">
        <v>3466</v>
      </c>
      <c r="B2" s="548"/>
      <c r="C2" s="549"/>
      <c r="D2" s="549"/>
      <c r="E2" s="550"/>
      <c r="F2" s="543" t="s">
        <v>3467</v>
      </c>
      <c r="G2" s="544"/>
      <c r="H2" s="544"/>
      <c r="I2" s="545"/>
      <c r="J2" s="545"/>
      <c r="K2" s="545"/>
      <c r="L2" s="546"/>
    </row>
    <row r="3" customFormat="false" ht="15.75" hidden="false" customHeight="false" outlineLevel="0" collapsed="false">
      <c r="A3" s="547" t="s">
        <v>3468</v>
      </c>
      <c r="B3" s="548"/>
      <c r="C3" s="549"/>
      <c r="D3" s="551" t="s">
        <v>3469</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3470</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3462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3471</v>
      </c>
      <c r="G17" s="570"/>
      <c r="H17" s="571" t="s">
        <v>3472</v>
      </c>
      <c r="I17" s="570"/>
    </row>
    <row r="18" customFormat="false" ht="15" hidden="false" customHeight="false" outlineLevel="0" collapsed="false">
      <c r="A18" s="563"/>
      <c r="B18" s="566" t="s">
        <v>2963</v>
      </c>
      <c r="C18" s="567"/>
      <c r="D18" s="568"/>
      <c r="F18" s="572" t="s">
        <v>3473</v>
      </c>
      <c r="G18" s="573"/>
      <c r="H18" s="572" t="s">
        <v>3473</v>
      </c>
      <c r="I18" s="574"/>
    </row>
    <row r="19" customFormat="false" ht="15" hidden="false" customHeight="false" outlineLevel="0" collapsed="false">
      <c r="A19" s="563"/>
      <c r="B19" s="566" t="s">
        <v>2965</v>
      </c>
      <c r="C19" s="567"/>
      <c r="D19" s="568"/>
      <c r="F19" s="575" t="s">
        <v>3474</v>
      </c>
      <c r="G19" s="8"/>
      <c r="H19" s="575" t="s">
        <v>3474</v>
      </c>
      <c r="I19" s="576"/>
    </row>
    <row r="20" customFormat="false" ht="15" hidden="false" customHeight="false" outlineLevel="0" collapsed="false">
      <c r="A20" s="563"/>
      <c r="B20" s="566" t="s">
        <v>2969</v>
      </c>
      <c r="C20" s="567"/>
      <c r="D20" s="568"/>
      <c r="F20" s="575" t="s">
        <v>3458</v>
      </c>
      <c r="G20" s="8"/>
      <c r="H20" s="575" t="s">
        <v>3458</v>
      </c>
      <c r="I20" s="576"/>
    </row>
    <row r="21" customFormat="false" ht="15" hidden="false" customHeight="false" outlineLevel="0" collapsed="false">
      <c r="A21" s="563"/>
      <c r="B21" s="566" t="s">
        <v>2318</v>
      </c>
      <c r="C21" s="567"/>
      <c r="D21" s="568"/>
      <c r="F21" s="575" t="s">
        <v>3475</v>
      </c>
      <c r="G21" s="8"/>
      <c r="H21" s="575" t="s">
        <v>3475</v>
      </c>
      <c r="I21" s="576"/>
    </row>
    <row r="22" customFormat="false" ht="15" hidden="false" customHeight="false" outlineLevel="0" collapsed="false">
      <c r="A22" s="563"/>
      <c r="B22" s="566" t="s">
        <v>2971</v>
      </c>
      <c r="C22" s="567"/>
      <c r="D22" s="568"/>
      <c r="F22" s="575" t="s">
        <v>3476</v>
      </c>
      <c r="G22" s="8"/>
      <c r="H22" s="575" t="s">
        <v>3476</v>
      </c>
      <c r="I22" s="576"/>
    </row>
    <row r="23" customFormat="false" ht="15" hidden="false" customHeight="false" outlineLevel="0" collapsed="false">
      <c r="A23" s="563"/>
      <c r="B23" s="566" t="s">
        <v>1933</v>
      </c>
      <c r="C23" s="567"/>
      <c r="D23" s="568"/>
      <c r="F23" s="575" t="s">
        <v>3477</v>
      </c>
      <c r="G23" s="8"/>
      <c r="H23" s="575" t="s">
        <v>3477</v>
      </c>
      <c r="I23" s="576"/>
    </row>
    <row r="24" customFormat="false" ht="15" hidden="false" customHeight="false" outlineLevel="0" collapsed="false">
      <c r="A24" s="563"/>
      <c r="B24" s="566" t="s">
        <v>2973</v>
      </c>
      <c r="C24" s="567"/>
      <c r="D24" s="568"/>
      <c r="F24" s="575" t="s">
        <v>3478</v>
      </c>
      <c r="G24" s="8"/>
      <c r="H24" s="575" t="s">
        <v>3478</v>
      </c>
      <c r="I24" s="576"/>
    </row>
    <row r="25" customFormat="false" ht="15" hidden="false" customHeight="false" outlineLevel="0" collapsed="false">
      <c r="A25" s="563"/>
      <c r="B25" s="566" t="s">
        <v>1354</v>
      </c>
      <c r="C25" s="567"/>
      <c r="D25" s="568"/>
      <c r="F25" s="575" t="s">
        <v>3459</v>
      </c>
      <c r="G25" s="8"/>
      <c r="H25" s="575" t="s">
        <v>3459</v>
      </c>
      <c r="I25" s="576"/>
    </row>
    <row r="26" customFormat="false" ht="15" hidden="false" customHeight="false" outlineLevel="0" collapsed="false">
      <c r="A26" s="563"/>
      <c r="B26" s="566" t="s">
        <v>1357</v>
      </c>
      <c r="C26" s="567"/>
      <c r="D26" s="568"/>
      <c r="F26" s="575" t="s">
        <v>3479</v>
      </c>
      <c r="G26" s="8"/>
      <c r="H26" s="575" t="s">
        <v>3479</v>
      </c>
      <c r="I26" s="576"/>
    </row>
    <row r="27" customFormat="false" ht="15" hidden="false" customHeight="false" outlineLevel="0" collapsed="false">
      <c r="A27" s="563"/>
      <c r="B27" s="566" t="s">
        <v>1329</v>
      </c>
      <c r="C27" s="567"/>
      <c r="D27" s="568"/>
      <c r="F27" s="577" t="s">
        <v>3480</v>
      </c>
      <c r="G27" s="578"/>
      <c r="H27" s="577" t="s">
        <v>3480</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3481</v>
      </c>
    </row>
    <row r="31" customFormat="false" ht="15" hidden="false" customHeight="false" outlineLevel="0" collapsed="false">
      <c r="A31" s="563"/>
      <c r="B31" s="566" t="s">
        <v>2323</v>
      </c>
      <c r="C31" s="567"/>
      <c r="D31" s="568"/>
      <c r="F31" s="581" t="s">
        <v>3482</v>
      </c>
    </row>
    <row r="32" customFormat="false" ht="15" hidden="false" customHeight="false" outlineLevel="0" collapsed="false">
      <c r="A32" s="563"/>
      <c r="B32" s="566" t="s">
        <v>2325</v>
      </c>
      <c r="C32" s="567"/>
      <c r="D32" s="568"/>
      <c r="F32" s="582" t="s">
        <v>3445</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3483</v>
      </c>
    </row>
    <row r="37" customFormat="false" ht="15" hidden="false" customHeight="false" outlineLevel="0" collapsed="false">
      <c r="A37" s="563"/>
      <c r="B37" s="566" t="s">
        <v>2979</v>
      </c>
      <c r="C37" s="567"/>
      <c r="D37" s="568"/>
      <c r="F37" s="581" t="s">
        <v>3484</v>
      </c>
    </row>
    <row r="38" customFormat="false" ht="15" hidden="false" customHeight="false" outlineLevel="0" collapsed="false">
      <c r="A38" s="563"/>
      <c r="B38" s="566" t="s">
        <v>2981</v>
      </c>
      <c r="C38" s="567"/>
      <c r="D38" s="568"/>
      <c r="F38" s="583" t="s">
        <v>3485</v>
      </c>
    </row>
    <row r="39" customFormat="false" ht="15" hidden="false" customHeight="false" outlineLevel="0" collapsed="false">
      <c r="A39" s="563"/>
      <c r="B39" s="566" t="s">
        <v>2983</v>
      </c>
      <c r="C39" s="567"/>
      <c r="D39" s="568"/>
      <c r="F39" s="583" t="s">
        <v>3486</v>
      </c>
    </row>
    <row r="40" customFormat="false" ht="15" hidden="false" customHeight="false" outlineLevel="0" collapsed="false">
      <c r="A40" s="563"/>
      <c r="B40" s="566" t="s">
        <v>624</v>
      </c>
      <c r="C40" s="567"/>
      <c r="D40" s="568"/>
      <c r="F40" s="583" t="s">
        <v>3487</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3488</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3489</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3490</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3491</v>
      </c>
    </row>
    <row r="1188" customFormat="false" ht="15" hidden="false" customHeight="false" outlineLevel="0" collapsed="false">
      <c r="A1188" s="563"/>
      <c r="B1188" s="566" t="s">
        <v>3492</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3493</v>
      </c>
    </row>
    <row r="1229" customFormat="false" ht="15" hidden="false" customHeight="false" outlineLevel="0" collapsed="false">
      <c r="A1229" s="563"/>
      <c r="B1229" s="566" t="s">
        <v>3494</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Elodie Petit</cp:lastModifiedBy>
  <cp:lastPrinted>2017-02-01T18:03:21Z</cp:lastPrinted>
  <dcterms:modified xsi:type="dcterms:W3CDTF">2017-02-01T18:03:27Z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