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<sst xmlns="http://schemas.openxmlformats.org/spreadsheetml/2006/main" count="110" uniqueCount="106">
  <si>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</si>
  <si>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</si>
  <si>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</si>
  <si>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Isebe P.Belly</t>
  </si>
  <si>
    <t xml:space="preserve">conforme AFNOR T90-395 oct. 2003</t>
  </si>
  <si>
    <t xml:space="preserve">Reyssouze</t>
  </si>
  <si>
    <t xml:space="preserve">REYVIR</t>
  </si>
  <si>
    <t xml:space="preserve">06046000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</si>
  <si>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</si>
  <si>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</si>
  <si>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</si>
  <si>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</si>
  <si>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</si>
  <si>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</si>
  <si>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</si>
  <si>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</si>
  <si>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</si>
  <si>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</si>
  <si>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</si>
  <si>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</si>
  <si>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</si>
  <si>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</si>
  <si>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</si>
  <si>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</si>
  <si>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</si>
  <si>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</si>
  <si>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</si>
  <si>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</si>
  <si>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</si>
  <si>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</si>
  <si>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</si>
  <si>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</si>
  <si>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</si>
  <si>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</si>
  <si>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</si>
  <si>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</si>
  <si>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</si>
  <si>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</si>
  <si>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</si>
  <si>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</si>
  <si>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</si>
  <si>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</si>
  <si>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</si>
  <si>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</si>
  <si>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</si>
  <si>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</si>
  <si>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</si>
  <si>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</si>
  <si>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</si>
  <si>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</si>
  <si>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</si>
  <si>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</si>
  <si>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</si>
  <si>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</si>
  <si>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</si>
  <si>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</si>
  <si>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</si>
  <si>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</si>
  <si>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</si>
  <si>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</si>
  <si>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</si>
  <si>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</si>
  <si>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</si>
  <si>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</si>
  <si>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</si>
  <si>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</si>
  <si>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</si>
  <si>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</si>
  <si>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</si>
  <si>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</si>
  <si>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</si>
  <si>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</si>
  <si>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</si>
  <si>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</si>
  <si>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</si>
  <si>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</si>
  <si>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</si>
  <si>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</si>
  <si>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</si>
  <si>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OEDSPX</t>
  </si>
  <si>
    <t xml:space="preserve">VAUSPX</t>
  </si>
  <si>
    <t xml:space="preserve">MYRSPI</t>
  </si>
  <si>
    <t xml:space="preserve">POTCRI</t>
  </si>
  <si>
    <t xml:space="preserve">POTNOD</t>
  </si>
  <si>
    <t xml:space="preserve">POTPEC</t>
  </si>
  <si>
    <t xml:space="preserve">POTXFL</t>
  </si>
  <si>
    <t xml:space="preserve">SPAEML</t>
  </si>
  <si>
    <t xml:space="preserve">ZANPAL</t>
  </si>
  <si>
    <t xml:space="preserve">GLYFLU</t>
  </si>
  <si>
    <t xml:space="preserve">LYCEUR</t>
  </si>
  <si>
    <t xml:space="preserve">MENAQU</t>
  </si>
  <si>
    <t xml:space="preserve">PHAARU</t>
  </si>
  <si>
    <t xml:space="preserve">PHRAUS</t>
  </si>
  <si>
    <t xml:space="preserve">POLHYD</t>
  </si>
  <si>
    <t xml:space="preserve">VERANA</t>
  </si>
  <si>
    <t xml:space="preserve">VERBEC</t>
  </si>
  <si>
    <t xml:space="preserve">NEWCOD</t>
  </si>
  <si>
    <t xml:space="preserve">Myosotis scorpioides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</si>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</sst>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EYVIR_19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domntade.eaurmc.fr/aermc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6.02083333333333</v>
      </c>
      <c r="M5" s="53"/>
      <c r="N5" s="54" t="s">
        <v>16</v>
      </c>
      <c r="O5" s="55" t="n">
        <v>6.02272727272727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7.88235294117647</v>
      </c>
      <c r="O8" s="84" t="n">
        <f aca="false">IF(ISERROR(AVERAGE(J23:J82)),"      -",AVERAGE(J23:J82))</f>
        <v>1.58823529411765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80</v>
      </c>
      <c r="C9" s="87" t="n">
        <v>61.25</v>
      </c>
      <c r="D9" s="88"/>
      <c r="E9" s="88"/>
      <c r="F9" s="89" t="n">
        <f aca="false">($B9*$B$7+$C9*$C$7)/100</f>
        <v>77.1875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3.12263751529106</v>
      </c>
      <c r="O9" s="84" t="n">
        <f aca="false">IF(ISERROR(STDEVP(J23:J82)),"      -",STDEVP(J23:J82))</f>
        <v>0.599884648657975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14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50.04</v>
      </c>
      <c r="C12" s="119" t="n">
        <v>60.14</v>
      </c>
      <c r="D12" s="111"/>
      <c r="E12" s="111"/>
      <c r="F12" s="112" t="n">
        <f aca="false">($B12*$B$7+$C12*$C$7)/100</f>
        <v>51.555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19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17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72.74</v>
      </c>
      <c r="C15" s="136" t="n">
        <v>1.11</v>
      </c>
      <c r="D15" s="111"/>
      <c r="E15" s="111"/>
      <c r="F15" s="112" t="n">
        <f aca="false">($B15*$B$7+$C15*$C$7)/100</f>
        <v>61.9955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15</v>
      </c>
      <c r="L15" s="116"/>
      <c r="M15" s="137" t="s">
        <v>47</v>
      </c>
      <c r="N15" s="138" t="n">
        <f aca="false">COUNTIF(J23:J82,"=1")</f>
        <v>8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8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100</v>
      </c>
      <c r="C17" s="119" t="n">
        <v>60.16</v>
      </c>
      <c r="D17" s="111"/>
      <c r="E17" s="111"/>
      <c r="F17" s="143"/>
      <c r="G17" s="112" t="n">
        <f aca="false">($B17*$B$7+$C17*$C$7)/100</f>
        <v>94.024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0.09</v>
      </c>
      <c r="D18" s="111"/>
      <c r="E18" s="147" t="s">
        <v>53</v>
      </c>
      <c r="F18" s="143"/>
      <c r="G18" s="112" t="n">
        <f aca="false">($B18*$B$7+$C18*$C$7)/100</f>
        <v>0.0135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 t="s">
        <v>54</v>
      </c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>ATTENTION : le total par grp. floristiques doit être égal</v>
      </c>
      <c r="E19" s="155" t="str">
        <f aca="false">IF(G19=F19,"","au total par grp. Fonctionnels !")</f>
        <v>au total par grp. Fonctionnels !</v>
      </c>
      <c r="F19" s="156" t="n">
        <f aca="false">SUM(F11:F15)</f>
        <v>113.5505</v>
      </c>
      <c r="G19" s="156" t="n">
        <f aca="false">SUM(G16:G18)</f>
        <v>94.0375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 t="s">
        <v>55</v>
      </c>
    </row>
    <row r="20" customFormat="false" ht="12.75" hidden="false" customHeight="false" outlineLevel="0" collapsed="false">
      <c r="A20" s="164" t="s">
        <v>56</v>
      </c>
      <c r="B20" s="165" t="n">
        <f aca="false">SUM(B23:B82)</f>
        <v>122.78</v>
      </c>
      <c r="C20" s="166" t="n">
        <f aca="false">SUM(C23:C82)</f>
        <v>61.25</v>
      </c>
      <c r="D20" s="167"/>
      <c r="E20" s="168" t="s">
        <v>53</v>
      </c>
      <c r="F20" s="169" t="n">
        <f aca="false">($B20*$B$7+$C20*$C$7)/100</f>
        <v>113.5505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104.363</v>
      </c>
      <c r="C21" s="179" t="n">
        <f aca="false">C20*C7/100</f>
        <v>9.1875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113.5505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16</v>
      </c>
      <c r="B23" s="205" t="n">
        <v>48.775</v>
      </c>
      <c r="C23" s="206" t="n">
        <v>55.2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49.73875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49.73875</v>
      </c>
      <c r="R23" s="217" t="n">
        <f aca="false">IF(OR(ISTEXT(H23),Q23=0),"",IF(Q23&lt;0.1,1,IF(Q23&lt;1,2,IF(Q23&lt;10,3,IF(Q23&lt;50,4,IF(Q23&gt;=50,5,""))))))</f>
        <v>4</v>
      </c>
      <c r="S23" s="217" t="n">
        <f aca="false">IF(ISERROR(R23*I23),0,R23*I23)</f>
        <v>24</v>
      </c>
      <c r="T23" s="217" t="n">
        <f aca="false">IF(ISERROR(R23*I23*J23),0,R23*I23*J23)</f>
        <v>24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1.265</v>
      </c>
      <c r="C24" s="225" t="n">
        <v>4.8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Oedogonium sp.</v>
      </c>
      <c r="E24" s="226" t="e">
        <f aca="false">IF(D24="",0,VLOOKUP(D24,D$22:D23,1,0))</f>
        <v>#N/A</v>
      </c>
      <c r="F24" s="227" t="n">
        <f aca="false">($B24*$B$7+$C24*$C$7)/100</f>
        <v>1.79525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Oedogonium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1134</v>
      </c>
      <c r="Q24" s="216" t="n">
        <f aca="false">IF(ISTEXT(H24),"",(B24*$B$7/100)+(C24*$C$7/100))</f>
        <v>1.79525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18</v>
      </c>
      <c r="T24" s="217" t="n">
        <f aca="false">IF(ISERROR(R24*I24*J24),0,R24*I24*J24)</f>
        <v>36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OEDSPX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55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0.14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0.021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0.021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4</v>
      </c>
      <c r="T25" s="217" t="n">
        <f aca="false">IF(ISERROR(R25*I25*J25),0,R25*I25*J25)</f>
        <v>4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0.05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Myriophyllum spicatum</v>
      </c>
      <c r="E26" s="226" t="e">
        <f aca="false">IF(D26="",0,VLOOKUP(D26,D$22:D25,1,0))</f>
        <v>#N/A</v>
      </c>
      <c r="F26" s="227" t="n">
        <f aca="false">($B26*$B$7+$C26*$C$7)/100</f>
        <v>0.0425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PHy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7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8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Myriophyllum spicatum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1778</v>
      </c>
      <c r="Q26" s="216" t="n">
        <f aca="false">IF(ISTEXT(H26),"",(B26*$B$7/100)+(C26*$C$7/100))</f>
        <v>0.0425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8</v>
      </c>
      <c r="T26" s="217" t="n">
        <f aca="false">IF(ISERROR(R26*I26*J26),0,R26*I26*J26)</f>
        <v>16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MYRSPI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373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Potamogeton crispus</v>
      </c>
      <c r="E27" s="226" t="e">
        <f aca="false">IF(D27="",0,VLOOKUP(D27,D$22:D26,1,0))</f>
        <v>#N/A</v>
      </c>
      <c r="F27" s="227" t="n">
        <f aca="false">($B27*$B$7+$C27*$C$7)/100</f>
        <v>0.085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PHy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7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7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Potamogeton crispus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1645</v>
      </c>
      <c r="Q27" s="216" t="n">
        <f aca="false">IF(ISTEXT(H27),"",(B27*$B$7/100)+(C27*$C$7/100))</f>
        <v>0.085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7</v>
      </c>
      <c r="T27" s="217" t="n">
        <f aca="false">IF(ISERROR(R27*I27*J27),0,R27*I27*J27)</f>
        <v>14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POTCRI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409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2.5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Potamogeton nodosus</v>
      </c>
      <c r="E28" s="226" t="e">
        <f aca="false">IF(D28="",0,VLOOKUP(D28,D$22:D27,1,0))</f>
        <v>#N/A</v>
      </c>
      <c r="F28" s="227" t="n">
        <f aca="false">($B28*$B$7+$C28*$C$7)/100</f>
        <v>2.1265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PHy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7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4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3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Potamogeton nodosus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1652</v>
      </c>
      <c r="Q28" s="216" t="n">
        <f aca="false">IF(ISTEXT(H28),"",(B28*$B$7/100)+(C28*$C$7/100))</f>
        <v>2.1265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12</v>
      </c>
      <c r="T28" s="217" t="n">
        <f aca="false">IF(ISERROR(R28*I28*J28),0,R28*I28*J28)</f>
        <v>36</v>
      </c>
      <c r="U28" s="229" t="n">
        <f aca="false">IF(ISERROR(R28*J28),0,R28*J28)</f>
        <v>9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POTNOD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418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70</v>
      </c>
      <c r="C29" s="225" t="n">
        <v>1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Potamogeton pectinatus</v>
      </c>
      <c r="E29" s="226" t="e">
        <f aca="false">IF(D29="",0,VLOOKUP(D29,D$22:D28,1,0))</f>
        <v>#N/A</v>
      </c>
      <c r="F29" s="227" t="n">
        <f aca="false">($B29*$B$7+$C29*$C$7)/100</f>
        <v>59.65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2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Potamogeton pectinatus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1655</v>
      </c>
      <c r="Q29" s="216" t="n">
        <f aca="false">IF(ISTEXT(H29),"",(B29*$B$7/100)+(C29*$C$7/100))</f>
        <v>59.65</v>
      </c>
      <c r="R29" s="217" t="n">
        <f aca="false">IF(OR(ISTEXT(H29),Q29=0),"",IF(Q29&lt;0.1,1,IF(Q29&lt;1,2,IF(Q29&lt;10,3,IF(Q29&lt;50,4,IF(Q29&gt;=50,5,""))))))</f>
        <v>5</v>
      </c>
      <c r="S29" s="217" t="n">
        <f aca="false">IF(ISERROR(R29*I29),0,R29*I29)</f>
        <v>10</v>
      </c>
      <c r="T29" s="217" t="n">
        <f aca="false">IF(ISERROR(R29*I29*J29),0,R29*I29*J29)</f>
        <v>20</v>
      </c>
      <c r="U29" s="229" t="n">
        <f aca="false">IF(ISERROR(R29*J29),0,R29*J29)</f>
        <v>10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POTPEC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421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</v>
      </c>
      <c r="C30" s="225" t="n">
        <v>0.01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Potamogeton x fluitans</v>
      </c>
      <c r="E30" s="226" t="e">
        <f aca="false">IF(D30="",0,VLOOKUP(D30,D$22:D29,1,0))</f>
        <v>#N/A</v>
      </c>
      <c r="F30" s="227" t="n">
        <f aca="false">($B30*$B$7+$C30*$C$7)/100</f>
        <v>0.0015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Potamogeton x fluitans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31669</v>
      </c>
      <c r="Q30" s="216" t="n">
        <f aca="false">IF(ISTEXT(H30),"",(B30*$B$7/100)+(C30*$C$7/100))</f>
        <v>0.0015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POTXFL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437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0.01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Sparganium emersum fo. Longissimum</v>
      </c>
      <c r="E31" s="226" t="e">
        <f aca="false">IF(D31="",0,VLOOKUP(D31,D$22:D30,1,0))</f>
        <v>#N/A</v>
      </c>
      <c r="F31" s="227" t="n">
        <f aca="false">($B31*$B$7+$C31*$C$7)/100</f>
        <v>0.0085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PHy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7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7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Sparganium emersum fo. Longissimum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19695</v>
      </c>
      <c r="Q31" s="216" t="n">
        <f aca="false">IF(ISTEXT(H31),"",(B31*$B$7/100)+(C31*$C$7/100))</f>
        <v>0.0085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7</v>
      </c>
      <c r="T31" s="217" t="n">
        <f aca="false">IF(ISERROR(R31*I31*J31),0,R31*I31*J31)</f>
        <v>7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SPAEML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482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04" t="s">
        <v>87</v>
      </c>
      <c r="B32" s="205" t="n">
        <v>0.08</v>
      </c>
      <c r="C32" s="206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Zannichellia palustris</v>
      </c>
      <c r="E32" s="226" t="e">
        <f aca="false">IF(D32="",0,VLOOKUP(D32,D$22:D31,1,0))</f>
        <v>#N/A</v>
      </c>
      <c r="F32" s="227" t="n">
        <f aca="false">($B32*$B$7+$C32*$C$7)/100</f>
        <v>0.068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PHy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7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5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Zannichellia palustris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1681</v>
      </c>
      <c r="Q32" s="216" t="n">
        <f aca="false">IF(ISTEXT(H32),"",(B32*$B$7/100)+(C32*$C$7/100))</f>
        <v>0.068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5</v>
      </c>
      <c r="T32" s="217" t="n">
        <f aca="false">IF(ISERROR(R32*I32*J32),0,R32*I32*J32)</f>
        <v>5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ZANPAL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503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0</v>
      </c>
      <c r="C33" s="225" t="n">
        <v>0.01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Glyceria fluitans</v>
      </c>
      <c r="E33" s="226" t="e">
        <f aca="false">IF(D33="",0,VLOOKUP(D33,D$22:D32,1,0))</f>
        <v>#N/A</v>
      </c>
      <c r="F33" s="227" t="n">
        <f aca="false">($B33*$B$7+$C33*$C$7)/100</f>
        <v>0.0015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PHe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8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14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2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Glyceria fluitans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1564</v>
      </c>
      <c r="Q33" s="216" t="n">
        <f aca="false">IF(ISTEXT(H33),"",(B33*$B$7/100)+(C33*$C$7/100))</f>
        <v>0.0015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14</v>
      </c>
      <c r="T33" s="217" t="n">
        <f aca="false">IF(ISERROR(R33*I33*J33),0,R33*I33*J33)</f>
        <v>28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GLYFLU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575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89</v>
      </c>
      <c r="B34" s="224" t="n">
        <v>0</v>
      </c>
      <c r="C34" s="225" t="n">
        <v>0.01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Lycopus europaeus</v>
      </c>
      <c r="E34" s="226" t="e">
        <f aca="false">IF(D34="",0,VLOOKUP(D34,D$22:D33,1,0))</f>
        <v>#N/A</v>
      </c>
      <c r="F34" s="231" t="n">
        <f aca="false">($B34*$B$7+$C34*$C$7)/100</f>
        <v>0.0015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11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Lycopus europaeus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1789</v>
      </c>
      <c r="Q34" s="216" t="n">
        <f aca="false">IF(ISTEXT(H34),"",(B34*$B$7/100)+(C34*$C$7/100))</f>
        <v>0.0015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11</v>
      </c>
      <c r="T34" s="217" t="n">
        <f aca="false">IF(ISERROR(R34*I34*J34),0,R34*I34*J34)</f>
        <v>11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LYCEUR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596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90</v>
      </c>
      <c r="B35" s="224" t="n">
        <v>0</v>
      </c>
      <c r="C35" s="225" t="n">
        <v>0.01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Mentha aquatica</v>
      </c>
      <c r="E35" s="226" t="e">
        <f aca="false">IF(D35="",0,VLOOKUP(D35,D$22:D34,1,0))</f>
        <v>#N/A</v>
      </c>
      <c r="F35" s="231" t="n">
        <f aca="false">($B35*$B$7+$C35*$C$7)/100</f>
        <v>0.0015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12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1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Mentha aquatica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1791</v>
      </c>
      <c r="Q35" s="216" t="n">
        <f aca="false">IF(ISTEXT(H35),"",(B35*$B$7/100)+(C35*$C$7/100))</f>
        <v>0.0015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12</v>
      </c>
      <c r="T35" s="217" t="n">
        <f aca="false">IF(ISERROR(R35*I35*J35),0,R35*I35*J35)</f>
        <v>12</v>
      </c>
      <c r="U35" s="229" t="n">
        <f aca="false">IF(ISERROR(R35*J35),0,R35*J35)</f>
        <v>1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MENAQU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607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91</v>
      </c>
      <c r="B36" s="224" t="n">
        <v>0</v>
      </c>
      <c r="C36" s="225" t="n">
        <v>0.01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Phalaris arundinacea</v>
      </c>
      <c r="E36" s="226" t="e">
        <f aca="false">IF(D36="",0,VLOOKUP(D36,D$22:D35,1,0))</f>
        <v>#N/A</v>
      </c>
      <c r="F36" s="231" t="n">
        <f aca="false">($B36*$B$7+$C36*$C$7)/100</f>
        <v>0.0015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10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1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Phalaris arundinacea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1577</v>
      </c>
      <c r="Q36" s="216" t="n">
        <f aca="false">IF(ISTEXT(H36),"",(B36*$B$7/100)+(C36*$C$7/100))</f>
        <v>0.0015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10</v>
      </c>
      <c r="T36" s="217" t="n">
        <f aca="false">IF(ISERROR(R36*I36*J36),0,R36*I36*J36)</f>
        <v>10</v>
      </c>
      <c r="U36" s="229" t="n">
        <f aca="false">IF(ISERROR(R36*J36),0,R36*J36)</f>
        <v>1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PHAARU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634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92</v>
      </c>
      <c r="B37" s="224" t="n">
        <v>0</v>
      </c>
      <c r="C37" s="225" t="n">
        <v>0.01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Phragmites australis</v>
      </c>
      <c r="E37" s="226" t="e">
        <f aca="false">IF(D37="",0,VLOOKUP(D37,D$22:D36,1,0))</f>
        <v>#N/A</v>
      </c>
      <c r="F37" s="231" t="n">
        <f aca="false">($B37*$B$7+$C37*$C$7)/100</f>
        <v>0.0015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1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9</v>
      </c>
      <c r="J37" s="211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2</v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Phragmites australis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1579</v>
      </c>
      <c r="Q37" s="216" t="n">
        <f aca="false">IF(ISTEXT(H37),"",(B37*$B$7/100)+(C37*$C$7/100))</f>
        <v>0.0015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9</v>
      </c>
      <c r="T37" s="217" t="n">
        <f aca="false">IF(ISERROR(R37*I37*J37),0,R37*I37*J37)</f>
        <v>18</v>
      </c>
      <c r="U37" s="229" t="n">
        <f aca="false">IF(ISERROR(R37*J37),0,R37*J37)</f>
        <v>2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PHRAUS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635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93</v>
      </c>
      <c r="B38" s="224" t="n">
        <v>0</v>
      </c>
      <c r="C38" s="225" t="n">
        <v>0.01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Polygonum hydropiper</v>
      </c>
      <c r="E38" s="226" t="e">
        <f aca="false">IF(D38="",0,VLOOKUP(D38,D$22:D37,1,0))</f>
        <v>#N/A</v>
      </c>
      <c r="F38" s="231" t="n">
        <f aca="false">($B38*$B$7+$C38*$C$7)/100</f>
        <v>0.0015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1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8</v>
      </c>
      <c r="J38" s="211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2</v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Polygonum hydropiper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1865</v>
      </c>
      <c r="Q38" s="216" t="n">
        <f aca="false">IF(ISTEXT(H38),"",(B38*$B$7/100)+(C38*$C$7/100))</f>
        <v>0.0015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8</v>
      </c>
      <c r="T38" s="217" t="n">
        <f aca="false">IF(ISERROR(R38*I38*J38),0,R38*I38*J38)</f>
        <v>16</v>
      </c>
      <c r="U38" s="229" t="n">
        <f aca="false">IF(ISERROR(R38*J38),0,R38*J38)</f>
        <v>2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POLHYD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637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94</v>
      </c>
      <c r="B39" s="224" t="n">
        <v>0</v>
      </c>
      <c r="C39" s="225" t="n">
        <v>0.01</v>
      </c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Veronica anagallis-aquatica</v>
      </c>
      <c r="E39" s="226" t="e">
        <f aca="false">IF(D39="",0,VLOOKUP(D39,D$22:D38,1,0))</f>
        <v>#N/A</v>
      </c>
      <c r="F39" s="231" t="n">
        <f aca="false">($B39*$B$7+$C39*$C$7)/100</f>
        <v>0.0015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PHe</v>
      </c>
      <c r="H39" s="210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8</v>
      </c>
      <c r="I39" s="211" t="n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>11</v>
      </c>
      <c r="J39" s="211" t="n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>2</v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Veronica anagallis-aquatica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1955</v>
      </c>
      <c r="Q39" s="216" t="n">
        <f aca="false">IF(ISTEXT(H39),"",(B39*$B$7/100)+(C39*$C$7/100))</f>
        <v>0.0015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11</v>
      </c>
      <c r="T39" s="217" t="n">
        <f aca="false">IF(ISERROR(R39*I39*J39),0,R39*I39*J39)</f>
        <v>22</v>
      </c>
      <c r="U39" s="229" t="n">
        <f aca="false">IF(ISERROR(R39*J39),0,R39*J39)</f>
        <v>2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>VERANA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682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95</v>
      </c>
      <c r="B40" s="224" t="n">
        <v>0</v>
      </c>
      <c r="C40" s="225" t="n">
        <v>0.01</v>
      </c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Veronica beccabunga</v>
      </c>
      <c r="E40" s="226" t="e">
        <f aca="false">IF(D40="",0,VLOOKUP(D40,D$22:D39,1,0))</f>
        <v>#N/A</v>
      </c>
      <c r="F40" s="231" t="n">
        <f aca="false">($B40*$B$7+$C40*$C$7)/100</f>
        <v>0.0015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PHe</v>
      </c>
      <c r="H40" s="210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8</v>
      </c>
      <c r="I40" s="211" t="n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>10</v>
      </c>
      <c r="J40" s="211" t="n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>1</v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Veronica beccabunga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1957</v>
      </c>
      <c r="Q40" s="216" t="n">
        <f aca="false">IF(ISTEXT(H40),"",(B40*$B$7/100)+(C40*$C$7/100))</f>
        <v>0.0015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10</v>
      </c>
      <c r="T40" s="217" t="n">
        <f aca="false">IF(ISERROR(R40*I40*J40),0,R40*I40*J40)</f>
        <v>10</v>
      </c>
      <c r="U40" s="229" t="n">
        <f aca="false">IF(ISERROR(R40*J40),0,R40*J40)</f>
        <v>1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>VERBEC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683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04" t="s">
        <v>96</v>
      </c>
      <c r="B41" s="205" t="n">
        <v>0</v>
      </c>
      <c r="C41" s="206" t="n">
        <v>0.01</v>
      </c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0.0015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    -</v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Myosotis scorpioides</v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No</v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>NEWCOD</v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 t="s">
        <v>97</v>
      </c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23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1"/>
      <c r="X82" s="252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23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3"/>
      <c r="Q83" s="253"/>
      <c r="R83" s="253"/>
      <c r="S83" s="253"/>
      <c r="T83" s="10"/>
      <c r="U83" s="10"/>
      <c r="V83" s="253"/>
      <c r="W83" s="253"/>
      <c r="X83" s="253"/>
      <c r="Y83" s="254"/>
      <c r="Z83" s="254"/>
      <c r="AA83" s="254"/>
      <c r="AB83" s="255"/>
      <c r="AC83" s="255"/>
      <c r="AD83" s="255"/>
    </row>
    <row r="84" customFormat="false" ht="12.75" hidden="true" customHeight="false" outlineLevel="0" collapsed="false">
      <c r="A84" s="223"/>
      <c r="B84" s="256" t="str">
        <f aca="false">C3</f>
        <v>REYVIR</v>
      </c>
      <c r="C84" s="257" t="n">
        <f aca="false">A4</f>
        <v>41809</v>
      </c>
      <c r="D84" s="258" t="n">
        <f aca="false">IF(ISERROR(SUM($T$23:$T$82)/SUM($U$23:$U$82)),"",SUM($T$23:$T$82)/SUM($U$23:$U$82))</f>
        <v>6.02083333333333</v>
      </c>
      <c r="E84" s="259" t="n">
        <f aca="false">N13</f>
        <v>19</v>
      </c>
      <c r="F84" s="256" t="n">
        <f aca="false">N14</f>
        <v>17</v>
      </c>
      <c r="G84" s="256" t="n">
        <f aca="false">N15</f>
        <v>8</v>
      </c>
      <c r="H84" s="256" t="n">
        <f aca="false">N16</f>
        <v>8</v>
      </c>
      <c r="I84" s="256" t="n">
        <f aca="false">N17</f>
        <v>1</v>
      </c>
      <c r="J84" s="260" t="n">
        <f aca="false">N8</f>
        <v>7.88235294117647</v>
      </c>
      <c r="K84" s="258" t="n">
        <f aca="false">N9</f>
        <v>3.12263751529106</v>
      </c>
      <c r="L84" s="259" t="n">
        <f aca="false">N10</f>
        <v>2</v>
      </c>
      <c r="M84" s="259" t="n">
        <f aca="false">N11</f>
        <v>14</v>
      </c>
      <c r="N84" s="258" t="n">
        <f aca="false">O8</f>
        <v>1.58823529411765</v>
      </c>
      <c r="O84" s="258" t="n">
        <f aca="false">O9</f>
        <v>0.599884648657975</v>
      </c>
      <c r="P84" s="259" t="n">
        <f aca="false">O10</f>
        <v>1</v>
      </c>
      <c r="Q84" s="259" t="n">
        <f aca="false">O11</f>
        <v>3</v>
      </c>
      <c r="R84" s="259" t="n">
        <f aca="false">F21</f>
        <v>113.5505</v>
      </c>
      <c r="S84" s="259" t="n">
        <f aca="false">K11</f>
        <v>0</v>
      </c>
      <c r="T84" s="259" t="n">
        <f aca="false">K12</f>
        <v>3</v>
      </c>
      <c r="U84" s="259" t="n">
        <f aca="false">K13</f>
        <v>0</v>
      </c>
      <c r="V84" s="261" t="n">
        <f aca="false">K14</f>
        <v>0</v>
      </c>
      <c r="W84" s="262" t="n">
        <f aca="false">K15</f>
        <v>15</v>
      </c>
      <c r="Z84" s="263"/>
      <c r="AA84" s="263"/>
      <c r="AB84" s="255"/>
      <c r="AC84" s="255"/>
      <c r="AD84" s="255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4" t="s">
        <v>98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99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100</v>
      </c>
      <c r="R88" s="10"/>
      <c r="S88" s="218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101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102</v>
      </c>
      <c r="R90" s="10"/>
      <c r="S90" s="265" t="n">
        <f aca="false">IF(ISERROR(SUM($T$23:$T$82)/SUM($U$23:$U$82)),"",(SUM($T$23:$T$82)-S88)/(SUM($U$23:$U$82)-S89))</f>
        <v>6.02272727272727</v>
      </c>
      <c r="T90" s="10"/>
    </row>
    <row r="91" customFormat="false" ht="12.75" hidden="false" customHeight="false" outlineLevel="0" collapsed="false">
      <c r="Q91" s="217" t="s">
        <v>103</v>
      </c>
      <c r="R91" s="217"/>
      <c r="S91" s="217" t="str">
        <f aca="false">INDEX('[2]liste reference'!$A$8:$A$904,$T$91)</f>
        <v>CLASPX</v>
      </c>
      <c r="T91" s="10" t="n">
        <f aca="false">IF(ISERROR(MATCH($S$93,'[2]liste reference'!$A$8:$A$904,0)),MATCH($S$93,'[2]liste reference'!$B$8:$B$904,0),(MATCH($S$93,'[2]liste reference'!$A$8:$A$904,0)))</f>
        <v>23</v>
      </c>
      <c r="U91" s="255"/>
    </row>
    <row r="92" customFormat="false" ht="12.75" hidden="false" customHeight="false" outlineLevel="0" collapsed="false">
      <c r="Q92" s="10" t="s">
        <v>104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105</v>
      </c>
      <c r="R93" s="10"/>
      <c r="S93" s="217" t="str">
        <f aca="false">INDEX($A$23:$A$82,$S$92)</f>
        <v>CLASPX</v>
      </c>
      <c r="T93" s="10"/>
    </row>
    <row r="94" customFormat="false" ht="12.75" hidden="false" customHeight="false" outlineLevel="0" collapsed="false">
      <c r="S94" s="25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42:A84">
    <cfRule type="expression" priority="2" aboveAverage="0" equalAverage="0" bottom="0" percent="0" rank="0" text="" dxfId="0">
      <formula>ISTEXT($E42)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A23:A41">
    <cfRule type="expression" priority="28" aboveAverage="0" equalAverage="0" bottom="0" percent="0" rank="0" text="" dxfId="26">
      <formula>ISTEXT($E23)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2014-12-19T16:24:44Z</dcterms:created>
  <dc:creator>Laurent Bourgoin</dc:creator>
  <dc:description/>
  <dc:language>fr-FR</dc:language>
  <cp:lastModifiedBy>REPELLINI Franck</cp:lastModifiedBy>
  <dcterms:modified xsi:type="dcterms:W3CDTF">2016-09-08T15:38:46Z</dcterms:modified>
  <cp:revision>0</cp:revision>
  <dc:subject/>
  <dc:title/>
</cp:coreProperties>
</file>