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<sst xmlns="http://schemas.openxmlformats.org/spreadsheetml/2006/main" count="107" uniqueCount="102">
  <si>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</si>
  <si>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</si>
  <si>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</si>
  <si>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 / PB</t>
  </si>
  <si>
    <t xml:space="preserve">conforme AFNOR T90-395 oct. 2003</t>
  </si>
  <si>
    <t xml:space="preserve">REYSSOUZE</t>
  </si>
  <si>
    <t xml:space="preserve">REYSSOUZE A PONT DE VAUX</t>
  </si>
  <si>
    <t xml:space="preserve">06047200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</si>
  <si>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</si>
  <si>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</si>
  <si>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</si>
  <si>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</si>
  <si>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</si>
  <si>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</si>
  <si>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</si>
  <si>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</si>
  <si>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MICSPX</t>
  </si>
  <si>
    <t xml:space="preserve">Faciès dominant</t>
  </si>
  <si>
    <t xml:space="preserve">RADIER</t>
  </si>
  <si>
    <t xml:space="preserve">PLAT LENTIQUE 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</si>
  <si>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</si>
  <si>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</si>
  <si>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</si>
  <si>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</si>
  <si>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</si>
  <si>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</si>
  <si>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</si>
  <si>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</si>
  <si>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</si>
  <si>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</si>
  <si>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</si>
  <si>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</si>
  <si>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 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</si>
  <si>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</si>
  <si>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</si>
  <si>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</si>
  <si>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</si>
  <si>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</si>
  <si>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</si>
  <si>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</si>
  <si>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</si>
  <si>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</si>
  <si>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</si>
  <si>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</si>
  <si>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</si>
  <si>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</si>
  <si>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</si>
  <si>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</si>
  <si>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</si>
  <si>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</si>
  <si>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</si>
  <si>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</si>
  <si>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</si>
  <si>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</si>
  <si>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</si>
  <si>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</si>
  <si>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</si>
  <si>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</si>
  <si>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</si>
  <si>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</si>
  <si>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</si>
  <si>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</si>
  <si>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</si>
  <si>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</si>
  <si>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</si>
  <si>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</si>
  <si>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</si>
  <si>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</si>
  <si>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</si>
  <si>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</si>
  <si>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</si>
  <si>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</si>
  <si>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</si>
  <si>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</si>
  <si>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</si>
  <si>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</si>
  <si>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</si>
  <si>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</si>
  <si>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</si>
  <si>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</si>
  <si>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RHISPX</t>
  </si>
  <si>
    <t xml:space="preserve">TETSPX</t>
  </si>
  <si>
    <t xml:space="preserve">VAUSPX</t>
  </si>
  <si>
    <t xml:space="preserve">OCTFON</t>
  </si>
  <si>
    <t xml:space="preserve">CERDEM</t>
  </si>
  <si>
    <t xml:space="preserve">MYRSPI</t>
  </si>
  <si>
    <t xml:space="preserve">NAJMAR</t>
  </si>
  <si>
    <t xml:space="preserve">NUPLUT</t>
  </si>
  <si>
    <t xml:space="preserve">POTNOD</t>
  </si>
  <si>
    <t xml:space="preserve">LYTSAL</t>
  </si>
  <si>
    <t xml:space="preserve">MENAQU</t>
  </si>
  <si>
    <t xml:space="preserve">PHAARU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</si>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</sst>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EYVAU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6.77083333333333</v>
      </c>
      <c r="M5" s="53"/>
      <c r="N5" s="54" t="s">
        <v>16</v>
      </c>
      <c r="O5" s="55" t="n">
        <v>6.02380952380952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20</v>
      </c>
      <c r="C7" s="67" t="n">
        <v>80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7.42857142857143</v>
      </c>
      <c r="O8" s="84" t="n">
        <f aca="false">IF(ISERROR(AVERAGE(J23:J82)),"      -",AVERAGE(J23:J82))</f>
        <v>1.78571428571429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24.01</v>
      </c>
      <c r="C9" s="87" t="n">
        <v>67.18</v>
      </c>
      <c r="D9" s="88"/>
      <c r="E9" s="88"/>
      <c r="F9" s="89" t="n">
        <f aca="false">($B9*$B$7+$C9*$C$7)/100</f>
        <v>58.546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2.96922995583236</v>
      </c>
      <c r="O9" s="84" t="n">
        <f aca="false">IF(ISERROR(STDEVP(J23:J82)),"      -",STDEVP(J23:J82))</f>
        <v>0.772618130456569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12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23.02</v>
      </c>
      <c r="C12" s="119" t="n">
        <v>36.01</v>
      </c>
      <c r="D12" s="111"/>
      <c r="E12" s="111"/>
      <c r="F12" s="112" t="n">
        <f aca="false">($B12*$B$7+$C12*$C$7)/100</f>
        <v>33.412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0.1</v>
      </c>
      <c r="D13" s="111"/>
      <c r="E13" s="111"/>
      <c r="F13" s="112" t="n">
        <f aca="false">($B13*$B$7+$C13*$C$7)/100</f>
        <v>0.08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1</v>
      </c>
      <c r="C15" s="136" t="n">
        <v>31.07</v>
      </c>
      <c r="D15" s="111"/>
      <c r="E15" s="111"/>
      <c r="F15" s="112" t="n">
        <f aca="false">($B15*$B$7+$C15*$C$7)/100</f>
        <v>25.056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9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 t="n">
        <v>1</v>
      </c>
      <c r="C16" s="110" t="n">
        <v>0.01</v>
      </c>
      <c r="D16" s="140"/>
      <c r="E16" s="140"/>
      <c r="F16" s="141"/>
      <c r="G16" s="141" t="n">
        <f aca="false">($B16*$B$7+$C16*$C$7)/100</f>
        <v>0.208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23.02</v>
      </c>
      <c r="C17" s="119" t="n">
        <v>67.13</v>
      </c>
      <c r="D17" s="111"/>
      <c r="E17" s="111"/>
      <c r="F17" s="143"/>
      <c r="G17" s="112" t="n">
        <f aca="false">($B17*$B$7+$C17*$C$7)/100</f>
        <v>58.308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0.04</v>
      </c>
      <c r="D18" s="111"/>
      <c r="E18" s="147" t="s">
        <v>54</v>
      </c>
      <c r="F18" s="143"/>
      <c r="G18" s="112" t="n">
        <f aca="false">($B18*$B$7+$C18*$C$7)/100</f>
        <v>0.032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58.548</v>
      </c>
      <c r="G19" s="156" t="n">
        <f aca="false">SUM(G16:G18)</f>
        <v>58.548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24.015</v>
      </c>
      <c r="C20" s="166" t="n">
        <f aca="false">SUM(C23:C82)</f>
        <v>67.18</v>
      </c>
      <c r="D20" s="167"/>
      <c r="E20" s="168" t="s">
        <v>54</v>
      </c>
      <c r="F20" s="169" t="n">
        <f aca="false">($B20*$B$7+$C20*$C$7)/100</f>
        <v>58.547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4.803</v>
      </c>
      <c r="C21" s="179" t="n">
        <f aca="false">C20*C7/100</f>
        <v>53.744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58.547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23</v>
      </c>
      <c r="C23" s="206" t="n">
        <v>31.5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29.8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29.8</v>
      </c>
      <c r="R23" s="217" t="n">
        <f aca="false">IF(OR(ISTEXT(H23),Q23=0),"",IF(Q23&lt;0.1,1,IF(Q23&lt;1,2,IF(Q23&lt;10,3,IF(Q23&lt;50,4,IF(Q23&gt;=50,5,""))))))</f>
        <v>4</v>
      </c>
      <c r="S23" s="217" t="n">
        <f aca="false">IF(ISERROR(R23*I23),0,R23*I23)</f>
        <v>24</v>
      </c>
      <c r="T23" s="217" t="n">
        <f aca="false">IF(ISERROR(R23*I23*J23),0,R23*I23*J23)</f>
        <v>24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</v>
      </c>
      <c r="C24" s="225" t="n">
        <v>1.75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Microspora sp.</v>
      </c>
      <c r="E24" s="226" t="e">
        <f aca="false">IF(D24="",0,VLOOKUP(D24,D$22:D23,1,0))</f>
        <v>#N/A</v>
      </c>
      <c r="F24" s="227" t="n">
        <f aca="false">($B24*$B$7+$C24*$C$7)/100</f>
        <v>1.4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Microspora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1132</v>
      </c>
      <c r="Q24" s="216" t="n">
        <f aca="false">IF(ISTEXT(H24),"",(B24*$B$7/100)+(C24*$C$7/100))</f>
        <v>1.4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36</v>
      </c>
      <c r="T24" s="217" t="n">
        <f aca="false">IF(ISERROR(R24*I24*J24),0,R24*I24*J24)</f>
        <v>72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MICSPX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41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0.0005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0.0001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1134</v>
      </c>
      <c r="Q25" s="216" t="n">
        <f aca="false">IF(ISTEXT(H25),"",(B25*$B$7/100)+(C25*$C$7/100))</f>
        <v>0.0001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6</v>
      </c>
      <c r="T25" s="217" t="n">
        <f aca="false">IF(ISERROR(R25*I25*J25),0,R25*I25*J25)</f>
        <v>12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OEDSPX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0.0145</v>
      </c>
      <c r="C26" s="225" t="n">
        <v>2.75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Rhizoclonium sp.</v>
      </c>
      <c r="E26" s="226" t="e">
        <f aca="false">IF(D26="",0,VLOOKUP(D26,D$22:D25,1,0))</f>
        <v>#N/A</v>
      </c>
      <c r="F26" s="227" t="n">
        <f aca="false">($B26*$B$7+$C26*$C$7)/100</f>
        <v>2.2029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Rhizoclonium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1125</v>
      </c>
      <c r="Q26" s="216" t="n">
        <f aca="false">IF(ISTEXT(H26),"",(B26*$B$7/100)+(C26*$C$7/100))</f>
        <v>2.2029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12</v>
      </c>
      <c r="T26" s="217" t="n">
        <f aca="false">IF(ISERROR(R26*I26*J26),0,R26*I26*J26)</f>
        <v>24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RHISPX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62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</v>
      </c>
      <c r="C27" s="225" t="n">
        <v>0.0095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Tetraspora sp.</v>
      </c>
      <c r="E27" s="226" t="e">
        <f aca="false">IF(D27="",0,VLOOKUP(D27,D$22:D26,1,0))</f>
        <v>#N/A</v>
      </c>
      <c r="F27" s="227" t="n">
        <f aca="false">($B27*$B$7+$C27*$C$7)/100</f>
        <v>0.0076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Tetraspora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1138</v>
      </c>
      <c r="Q27" s="216" t="n">
        <f aca="false">IF(ISTEXT(H27),"",(B27*$B$7/100)+(C27*$C$7/100))</f>
        <v>0.0076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12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TETSPX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73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0.0005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Vaucheria sp.</v>
      </c>
      <c r="E28" s="226" t="e">
        <f aca="false">IF(D28="",0,VLOOKUP(D28,D$22:D27,1,0))</f>
        <v>#N/A</v>
      </c>
      <c r="F28" s="227" t="n">
        <f aca="false">($B28*$B$7+$C28*$C$7)/100</f>
        <v>0.0004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4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Vaucheria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6193</v>
      </c>
      <c r="Q28" s="216" t="n">
        <f aca="false">IF(ISTEXT(H28),"",(B28*$B$7/100)+(C28*$C$7/100))</f>
        <v>0.0004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4</v>
      </c>
      <c r="T28" s="217" t="n">
        <f aca="false">IF(ISERROR(R28*I28*J28),0,R28*I28*J28)</f>
        <v>4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VAUSPX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0.1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Octodiceras fontanum</v>
      </c>
      <c r="E29" s="226" t="e">
        <f aca="false">IF(D29="",0,VLOOKUP(D29,D$22:D28,1,0))</f>
        <v>#N/A</v>
      </c>
      <c r="F29" s="227" t="n">
        <f aca="false">($B29*$B$7+$C29*$C$7)/100</f>
        <v>0.08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7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Octodiceras fontanum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1303</v>
      </c>
      <c r="Q29" s="216" t="n">
        <f aca="false">IF(ISTEXT(H29),"",(B29*$B$7/100)+(C29*$C$7/100))</f>
        <v>0.08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7</v>
      </c>
      <c r="T29" s="217" t="n">
        <f aca="false">IF(ISERROR(R29*I29*J29),0,R29*I29*J29)</f>
        <v>21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OCTFON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228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</v>
      </c>
      <c r="C30" s="225" t="n">
        <v>0.01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Ceratophyllum demersum</v>
      </c>
      <c r="E30" s="226" t="e">
        <f aca="false">IF(D30="",0,VLOOKUP(D30,D$22:D29,1,0))</f>
        <v>#N/A</v>
      </c>
      <c r="F30" s="227" t="n">
        <f aca="false">($B30*$B$7+$C30*$C$7)/100</f>
        <v>0.008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Ceratophyllum demersum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1717</v>
      </c>
      <c r="Q30" s="216" t="n">
        <f aca="false">IF(ISTEXT(H30),"",(B30*$B$7/100)+(C30*$C$7/100))</f>
        <v>0.008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5</v>
      </c>
      <c r="T30" s="217" t="n">
        <f aca="false">IF(ISERROR(R30*I30*J30),0,R30*I30*J30)</f>
        <v>10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CERDEM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330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30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Myriophyllum spicatum</v>
      </c>
      <c r="E31" s="226" t="e">
        <f aca="false">IF(D31="",0,VLOOKUP(D31,D$22:D30,1,0))</f>
        <v>#N/A</v>
      </c>
      <c r="F31" s="227" t="n">
        <f aca="false">($B31*$B$7+$C31*$C$7)/100</f>
        <v>24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8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Myriophyllum spicatum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1778</v>
      </c>
      <c r="Q31" s="216" t="n">
        <f aca="false">IF(ISTEXT(H31),"",(B31*$B$7/100)+(C31*$C$7/100))</f>
        <v>24</v>
      </c>
      <c r="R31" s="217" t="n">
        <f aca="false">IF(OR(ISTEXT(H31),Q31=0),"",IF(Q31&lt;0.1,1,IF(Q31&lt;1,2,IF(Q31&lt;10,3,IF(Q31&lt;50,4,IF(Q31&gt;=50,5,""))))))</f>
        <v>4</v>
      </c>
      <c r="S31" s="217" t="n">
        <f aca="false">IF(ISERROR(R31*I31),0,R31*I31)</f>
        <v>32</v>
      </c>
      <c r="T31" s="217" t="n">
        <f aca="false">IF(ISERROR(R31*I31*J31),0,R31*I31*J31)</f>
        <v>64</v>
      </c>
      <c r="U31" s="229" t="n">
        <f aca="false">IF(ISERROR(R31*J31),0,R31*J31)</f>
        <v>8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MYRSPI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373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0.01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Najas marina</v>
      </c>
      <c r="E32" s="226" t="e">
        <f aca="false">IF(D32="",0,VLOOKUP(D32,D$22:D31,1,0))</f>
        <v>#N/A</v>
      </c>
      <c r="F32" s="227" t="n">
        <f aca="false">($B32*$B$7+$C32*$C$7)/100</f>
        <v>0.008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PHy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7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5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3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Najas marina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1835</v>
      </c>
      <c r="Q32" s="216" t="n">
        <f aca="false">IF(ISTEXT(H32),"",(B32*$B$7/100)+(C32*$C$7/100))</f>
        <v>0.008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5</v>
      </c>
      <c r="T32" s="217" t="n">
        <f aca="false">IF(ISERROR(R32*I32*J32),0,R32*I32*J32)</f>
        <v>15</v>
      </c>
      <c r="U32" s="229" t="n">
        <f aca="false">IF(ISERROR(R32*J32),0,R32*J32)</f>
        <v>3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NAJMAR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379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Nuphar lutea</v>
      </c>
      <c r="E33" s="226" t="e">
        <f aca="false">IF(D33="",0,VLOOKUP(D33,D$22:D32,1,0))</f>
        <v>#N/A</v>
      </c>
      <c r="F33" s="227" t="n">
        <f aca="false">($B33*$B$7+$C33*$C$7)/100</f>
        <v>0.008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PHy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7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9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Nuphar lutea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1839</v>
      </c>
      <c r="Q33" s="216" t="n">
        <f aca="false">IF(ISTEXT(H33),"",(B33*$B$7/100)+(C33*$C$7/100))</f>
        <v>0.008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9</v>
      </c>
      <c r="T33" s="217" t="n">
        <f aca="false">IF(ISERROR(R33*I33*J33),0,R33*I33*J33)</f>
        <v>9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NUPLUT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389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1</v>
      </c>
      <c r="C34" s="225" t="n">
        <v>1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Potamogeton nodosus</v>
      </c>
      <c r="E34" s="226" t="e">
        <f aca="false">IF(D34="",0,VLOOKUP(D34,D$22:D33,1,0))</f>
        <v>#N/A</v>
      </c>
      <c r="F34" s="231" t="n">
        <f aca="false">($B34*$B$7+$C34*$C$7)/100</f>
        <v>1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PHy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7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4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3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Potamogeton nodosus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1652</v>
      </c>
      <c r="Q34" s="216" t="n">
        <f aca="false">IF(ISTEXT(H34),"",(B34*$B$7/100)+(C34*$C$7/100))</f>
        <v>1</v>
      </c>
      <c r="R34" s="217" t="n">
        <f aca="false">IF(OR(ISTEXT(H34),Q34=0),"",IF(Q34&lt;0.1,1,IF(Q34&lt;1,2,IF(Q34&lt;10,3,IF(Q34&lt;50,4,IF(Q34&gt;=50,5,""))))))</f>
        <v>3</v>
      </c>
      <c r="S34" s="217" t="n">
        <f aca="false">IF(ISERROR(R34*I34),0,R34*I34)</f>
        <v>12</v>
      </c>
      <c r="T34" s="217" t="n">
        <f aca="false">IF(ISERROR(R34*I34*J34),0,R34*I34*J34)</f>
        <v>36</v>
      </c>
      <c r="U34" s="229" t="n">
        <f aca="false">IF(ISERROR(R34*J34),0,R34*J34)</f>
        <v>9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POTNOD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418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0.01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Lythrum salicaria</v>
      </c>
      <c r="E35" s="226" t="e">
        <f aca="false">IF(D35="",0,VLOOKUP(D35,D$22:D34,1,0))</f>
        <v>#N/A</v>
      </c>
      <c r="F35" s="231" t="n">
        <f aca="false">($B35*$B$7+$C35*$C$7)/100</f>
        <v>0.008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Lythrum salicaria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1823</v>
      </c>
      <c r="Q35" s="216" t="n">
        <f aca="false">IF(ISTEXT(H35),"",(B35*$B$7/100)+(C35*$C$7/100))</f>
        <v>0.008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LYTSAL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605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Mentha aquatica</v>
      </c>
      <c r="E36" s="226" t="e">
        <f aca="false">IF(D36="",0,VLOOKUP(D36,D$22:D35,1,0))</f>
        <v>#N/A</v>
      </c>
      <c r="F36" s="231" t="n">
        <f aca="false">($B36*$B$7+$C36*$C$7)/100</f>
        <v>0.008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12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1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Mentha aquatica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1791</v>
      </c>
      <c r="Q36" s="216" t="n">
        <f aca="false">IF(ISTEXT(H36),"",(B36*$B$7/100)+(C36*$C$7/100))</f>
        <v>0.008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12</v>
      </c>
      <c r="T36" s="217" t="n">
        <f aca="false">IF(ISERROR(R36*I36*J36),0,R36*I36*J36)</f>
        <v>12</v>
      </c>
      <c r="U36" s="229" t="n">
        <f aca="false">IF(ISERROR(R36*J36),0,R36*J36)</f>
        <v>1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MENAQU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607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0.01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Phalaris arundinacea</v>
      </c>
      <c r="E37" s="226" t="e">
        <f aca="false">IF(D37="",0,VLOOKUP(D37,D$22:D36,1,0))</f>
        <v>#N/A</v>
      </c>
      <c r="F37" s="231" t="n">
        <f aca="false">($B37*$B$7+$C37*$C$7)/100</f>
        <v>0.008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10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1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Phalaris arundinacea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1577</v>
      </c>
      <c r="Q37" s="216" t="n">
        <f aca="false">IF(ISTEXT(H37),"",(B37*$B$7/100)+(C37*$C$7/100))</f>
        <v>0.008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10</v>
      </c>
      <c r="T37" s="217" t="n">
        <f aca="false">IF(ISERROR(R37*I37*J37),0,R37*I37*J37)</f>
        <v>10</v>
      </c>
      <c r="U37" s="229" t="n">
        <f aca="false">IF(ISERROR(R37*J37),0,R37*J37)</f>
        <v>1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PHAARU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634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0.01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Solanum dulcamara</v>
      </c>
      <c r="E38" s="226" t="e">
        <f aca="false">IF(D38="",0,VLOOKUP(D38,D$22:D37,1,0))</f>
        <v>#N/A</v>
      </c>
      <c r="F38" s="231" t="n">
        <f aca="false">($B38*$B$7+$C38*$C$7)/100</f>
        <v>0.008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PHg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9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Solanum dulcamara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1964</v>
      </c>
      <c r="Q38" s="216" t="n">
        <f aca="false">IF(ISTEXT(H38),"",(B38*$B$7/100)+(C38*$C$7/100))</f>
        <v>0.008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SOADUL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824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REYSSOUZE</v>
      </c>
      <c r="B84" s="259" t="str">
        <f aca="false">C3</f>
        <v>REYSSOUZE A PONT DE VAUX</v>
      </c>
      <c r="C84" s="260" t="n">
        <f aca="false">A4</f>
        <v>41807</v>
      </c>
      <c r="D84" s="261" t="n">
        <f aca="false">IF(ISERROR(SUM($T$23:$T$82)/SUM($U$23:$U$82)),"",SUM($T$23:$T$82)/SUM($U$23:$U$82))</f>
        <v>6.77083333333333</v>
      </c>
      <c r="E84" s="262" t="n">
        <f aca="false">N13</f>
        <v>16</v>
      </c>
      <c r="F84" s="259" t="n">
        <f aca="false">N14</f>
        <v>14</v>
      </c>
      <c r="G84" s="259" t="n">
        <f aca="false">N15</f>
        <v>6</v>
      </c>
      <c r="H84" s="259" t="n">
        <f aca="false">N16</f>
        <v>5</v>
      </c>
      <c r="I84" s="259" t="n">
        <f aca="false">N17</f>
        <v>3</v>
      </c>
      <c r="J84" s="263" t="n">
        <f aca="false">N8</f>
        <v>7.42857142857143</v>
      </c>
      <c r="K84" s="261" t="n">
        <f aca="false">N9</f>
        <v>2.96922995583236</v>
      </c>
      <c r="L84" s="262" t="n">
        <f aca="false">N10</f>
        <v>4</v>
      </c>
      <c r="M84" s="262" t="n">
        <f aca="false">N11</f>
        <v>12</v>
      </c>
      <c r="N84" s="261" t="n">
        <f aca="false">O8</f>
        <v>1.78571428571429</v>
      </c>
      <c r="O84" s="261" t="n">
        <f aca="false">O9</f>
        <v>0.772618130456569</v>
      </c>
      <c r="P84" s="262" t="n">
        <f aca="false">O10</f>
        <v>1</v>
      </c>
      <c r="Q84" s="262" t="n">
        <f aca="false">O11</f>
        <v>3</v>
      </c>
      <c r="R84" s="262" t="n">
        <f aca="false">F21</f>
        <v>58.547</v>
      </c>
      <c r="S84" s="262" t="n">
        <f aca="false">K11</f>
        <v>0</v>
      </c>
      <c r="T84" s="262" t="n">
        <f aca="false">K12</f>
        <v>6</v>
      </c>
      <c r="U84" s="262" t="n">
        <f aca="false">K13</f>
        <v>1</v>
      </c>
      <c r="V84" s="264" t="n">
        <f aca="false">K14</f>
        <v>0</v>
      </c>
      <c r="W84" s="265" t="n">
        <f aca="false">K15</f>
        <v>9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8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8" t="n">
        <f aca="false">VLOOKUP((S87),($S$23:$U$82),2,0)</f>
        <v>72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8" t="n">
        <f aca="false">IF(ISERROR(SUM($T$23:$T$82)/SUM($U$23:$U$82)),"",(SUM($T$23:$T$82)-S88)/(SUM($U$23:$U$82)-S89))</f>
        <v>6.02380952380952</v>
      </c>
      <c r="T90" s="10"/>
    </row>
    <row r="91" customFormat="false" ht="12.75" hidden="false" customHeight="false" outlineLevel="0" collapsed="false">
      <c r="Q91" s="217" t="s">
        <v>99</v>
      </c>
      <c r="R91" s="217"/>
      <c r="S91" s="217" t="str">
        <f aca="false">INDEX('[2]liste reference'!$A$8:$A$904,$T$91)</f>
        <v>MICSPX</v>
      </c>
      <c r="T91" s="10" t="n">
        <f aca="false">IF(ISERROR(MATCH($S$93,'[2]liste reference'!$A$8:$A$904,0)),MATCH($S$93,'[2]liste reference'!$B$8:$B$904,0),(MATCH($S$93,'[2]liste reference'!$A$8:$A$904,0)))</f>
        <v>41</v>
      </c>
      <c r="U91" s="257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101</v>
      </c>
      <c r="R93" s="10"/>
      <c r="S93" s="217" t="str">
        <f aca="false">INDEX($A$23:$A$82,$S$92)</f>
        <v>MICSPX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2015-02-02T16:09:48Z</dcterms:created>
  <dc:creator>Laurent Bourgoin</dc:creator>
  <dc:description/>
  <dc:language>fr-FR</dc:language>
  <cp:lastModifiedBy>Laurent Bourgoin</cp:lastModifiedBy>
  <dcterms:modified xsi:type="dcterms:W3CDTF">2015-02-02T16:09:58Z</dcterms:modified>
  <cp:revision>0</cp:revision>
  <dc:subject/>
  <dc:title/>
</cp:coreProperties>
</file>