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<sst xmlns="http://schemas.openxmlformats.org/spreadsheetml/2006/main" count="161" uniqueCount="97">
  <si>
    <t xml:space="preserve">Relevés floristiques aquatiques - IBMR</t>
  </si>
  <si>
    <t xml:space="preserve">modèle Irstea-GIS</t>
  </si>
  <si>
    <t xml:space="preserve">SAGE</t>
  </si>
  <si>
    <t xml:space="preserve">L.BOURGOIN M. SCHNEIDER</t>
  </si>
  <si>
    <t xml:space="preserve">IRANCE</t>
  </si>
  <si>
    <t xml:space="preserve">IRANCE A MEZERIAT</t>
  </si>
  <si>
    <t xml:space="preserve">06048540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</si>
  <si>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</si>
  <si>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</si>
  <si>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</si>
  <si>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</si>
  <si>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</si>
  <si>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</si>
  <si>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</si>
  <si>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</si>
  <si>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</si>
  <si>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HILSPX</t>
  </si>
  <si>
    <t xml:space="preserve">Faciès dominant</t>
  </si>
  <si>
    <t xml:space="preserve">radier</t>
  </si>
  <si>
    <t xml:space="preserve">ch. lentique</t>
  </si>
  <si>
    <t xml:space="preserve">niveau trophique</t>
  </si>
  <si>
    <t xml:space="preserve">moyen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</si>
  <si>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</si>
  <si>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</si>
  <si>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</si>
  <si>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</si>
  <si>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</si>
  <si>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</si>
  <si>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</si>
  <si>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</si>
  <si>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</si>
  <si>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</si>
  <si>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</si>
  <si>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</si>
  <si>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</si>
  <si>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</si>
  <si>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</si>
  <si>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</si>
  <si>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</si>
  <si>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</si>
  <si>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</si>
  <si>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</si>
  <si>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</si>
  <si>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</si>
  <si>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</si>
  <si>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</si>
  <si>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</si>
  <si>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</si>
  <si>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</si>
  <si>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</si>
  <si>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</si>
  <si>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</si>
  <si>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</si>
  <si>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</si>
  <si>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</si>
  <si>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</si>
  <si>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</si>
  <si>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</si>
  <si>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</si>
  <si>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</si>
  <si>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</si>
  <si>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</si>
  <si>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</si>
  <si>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</si>
  <si>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</si>
  <si>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</si>
  <si>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</si>
  <si>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</si>
  <si>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</si>
  <si>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</si>
  <si>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</si>
  <si>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</si>
  <si>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</si>
  <si>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</si>
  <si>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</si>
  <si>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</si>
  <si>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</si>
  <si>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</si>
  <si>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</si>
  <si>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</si>
  <si>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</si>
  <si>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ENCSPX</t>
  </si>
  <si>
    <t xml:space="preserve">OEDSPX</t>
  </si>
  <si>
    <t xml:space="preserve">STISPX</t>
  </si>
  <si>
    <t xml:space="preserve">ULOSPX</t>
  </si>
  <si>
    <t xml:space="preserve">MYRSPI</t>
  </si>
  <si>
    <t xml:space="preserve">NUPLUT</t>
  </si>
  <si>
    <t xml:space="preserve">POTCRI</t>
  </si>
  <si>
    <t xml:space="preserve">SPAERE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</si>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</sst>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IRMEZ_08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42163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10.3181818181818</v>
      </c>
      <c r="N5" s="51"/>
      <c r="O5" s="52" t="s">
        <v>16</v>
      </c>
      <c r="P5" s="53" t="n">
        <v>8.5625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50</v>
      </c>
      <c r="C7" s="69" t="n">
        <v>50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9.33333333333333</v>
      </c>
      <c r="P8" s="83" t="n">
        <f aca="false">IF(ISERROR(AVERAGE(K23:K82)),"  ",AVERAGE(K23:K82))</f>
        <v>1.55555555555556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8.55</v>
      </c>
      <c r="C9" s="86" t="n">
        <v>1.07</v>
      </c>
      <c r="D9" s="87"/>
      <c r="E9" s="87"/>
      <c r="F9" s="88" t="n">
        <f aca="false">($B9*$B$7+$C9*$C$7)/100</f>
        <v>4.81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2.90593262902712</v>
      </c>
      <c r="P9" s="83" t="n">
        <f aca="false">IF(ISERROR(STDEVP(K23:K82)),"  ",STDEVP(K23:K82))</f>
        <v>0.496903994999953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/>
      <c r="C10" s="94"/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4.04</v>
      </c>
      <c r="C12" s="111" t="n">
        <v>0.05</v>
      </c>
      <c r="D12" s="87"/>
      <c r="E12" s="87"/>
      <c r="F12" s="104" t="n">
        <f aca="false">($B12*$B$7+$C12*$C$7)/100</f>
        <v>2.045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6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/>
      <c r="C13" s="111"/>
      <c r="D13" s="87"/>
      <c r="E13" s="87"/>
      <c r="F13" s="104" t="n">
        <f aca="false">($B13*$B$7+$C13*$C$7)/100</f>
        <v>0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0</v>
      </c>
      <c r="M13" s="108"/>
      <c r="N13" s="116" t="s">
        <v>41</v>
      </c>
      <c r="O13" s="117" t="n">
        <f aca="false">COUNTIF(F23:F82,"&gt;0")</f>
        <v>10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9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 t="n">
        <v>4.51</v>
      </c>
      <c r="C15" s="124" t="n">
        <v>1.02</v>
      </c>
      <c r="D15" s="87"/>
      <c r="E15" s="87"/>
      <c r="F15" s="104" t="n">
        <f aca="false">($B15*$B$7+$C15*$C$7)/100</f>
        <v>2.765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4</v>
      </c>
      <c r="M15" s="108"/>
      <c r="N15" s="116" t="s">
        <v>47</v>
      </c>
      <c r="O15" s="117" t="n">
        <f aca="false">COUNTIF(K23:K82,"=1")</f>
        <v>4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 t="n">
        <v>4.5</v>
      </c>
      <c r="C16" s="103"/>
      <c r="D16" s="87"/>
      <c r="E16" s="87"/>
      <c r="F16" s="125"/>
      <c r="G16" s="126" t="n">
        <f aca="false">($B16*$B$7+$C16*$C$7)/100</f>
        <v>2.25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5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4.01</v>
      </c>
      <c r="C17" s="111" t="n">
        <v>1.07</v>
      </c>
      <c r="D17" s="87"/>
      <c r="E17" s="87"/>
      <c r="F17" s="129"/>
      <c r="G17" s="130" t="n">
        <f aca="false">($B17*$B$7+$C17*$C$7)/100</f>
        <v>2.54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0.9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4.81</v>
      </c>
      <c r="G19" s="150" t="n">
        <f aca="false">SUM(G16:G18)</f>
        <v>4.79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8.55</v>
      </c>
      <c r="C20" s="160" t="n">
        <f aca="false">SUM(C23:C62)</f>
        <v>1.07</v>
      </c>
      <c r="D20" s="161"/>
      <c r="E20" s="162" t="s">
        <v>54</v>
      </c>
      <c r="F20" s="163" t="n">
        <f aca="false">($B20*$B$7+$C20*$C$7)/100</f>
        <v>4.81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4.275</v>
      </c>
      <c r="C21" s="171" t="n">
        <f aca="false">C20*C7/100</f>
        <v>0.535</v>
      </c>
      <c r="D21" s="172" t="s">
        <v>57</v>
      </c>
      <c r="E21" s="173"/>
      <c r="F21" s="174" t="n">
        <f aca="false">B21+C21</f>
        <v>4.81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0.01</v>
      </c>
      <c r="C23" s="200" t="n">
        <v>0.02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0.015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81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Encyonema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str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nc</v>
      </c>
      <c r="K24" s="224" t="str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nc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Encyonema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9378</v>
      </c>
      <c r="R24" s="211" t="n">
        <f aca="false">IF(ISTEXT(H24),"",(B24*$B$7/100)+(C24*$C$7/100))</f>
        <v>0.005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0</v>
      </c>
      <c r="U24" s="212" t="n">
        <f aca="false">IF(ISERROR(S24*J24*K24),0,S24*J24*K24)</f>
        <v>0</v>
      </c>
      <c r="V24" s="228" t="n">
        <f aca="false">IF(ISERROR(S24*K24),0,S24*K24)</f>
        <v>0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ENCSPX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45</v>
      </c>
    </row>
    <row r="25" customFormat="false" ht="12.75" hidden="false" customHeight="false" outlineLevel="0" collapsed="false">
      <c r="A25" s="216" t="s">
        <v>16</v>
      </c>
      <c r="B25" s="217" t="n">
        <v>4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Hildenbrandia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2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15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Hildenbrandia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1157</v>
      </c>
      <c r="R25" s="211" t="n">
        <f aca="false">IF(ISTEXT(H25),"",(B25*$B$7/100)+(C25*$C$7/100))</f>
        <v>2</v>
      </c>
      <c r="S25" s="212" t="n">
        <f aca="false">IF(OR(ISTEXT(H25),R25=0),"",IF(R25&lt;0.1,1,IF(R25&lt;1,2,IF(R25&lt;10,3,IF(R25&lt;50,4,IF(R25&gt;=50,5,""))))))</f>
        <v>3</v>
      </c>
      <c r="T25" s="212" t="n">
        <f aca="false">IF(ISERROR(S25*J25),0,S25*J25)</f>
        <v>45</v>
      </c>
      <c r="U25" s="212" t="n">
        <f aca="false">IF(ISERROR(S25*J25*K25),0,S25*J25*K25)</f>
        <v>90</v>
      </c>
      <c r="V25" s="228" t="n">
        <f aca="false">IF(ISERROR(S25*K25),0,S25*K25)</f>
        <v>6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HILSPX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53</v>
      </c>
    </row>
    <row r="26" customFormat="false" ht="12.75" hidden="false" customHeight="false" outlineLevel="0" collapsed="false">
      <c r="A26" s="216" t="s">
        <v>82</v>
      </c>
      <c r="B26" s="217" t="n">
        <v>0</v>
      </c>
      <c r="C26" s="218" t="n">
        <v>0.01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Oedogonium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6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Oedogonium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1134</v>
      </c>
      <c r="R26" s="211" t="n">
        <f aca="false">IF(ISTEXT(H26),"",(B26*$B$7/100)+(C26*$C$7/100))</f>
        <v>0.005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6</v>
      </c>
      <c r="U26" s="212" t="n">
        <f aca="false">IF(ISERROR(S26*J26*K26),0,S26*J26*K26)</f>
        <v>12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OEDSPX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85</v>
      </c>
    </row>
    <row r="27" customFormat="false" ht="12.75" hidden="false" customHeight="false" outlineLevel="0" collapsed="false">
      <c r="A27" s="216" t="s">
        <v>83</v>
      </c>
      <c r="B27" s="217" t="n">
        <v>0.01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Stigeoclonium sp. (excep. S. tenue)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13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Stigeoclonium sp. (excep. S. tenue)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1119</v>
      </c>
      <c r="R27" s="211" t="n">
        <f aca="false">IF(ISTEXT(H27),"",(B27*$B$7/100)+(C27*$C$7/100))</f>
        <v>0.005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13</v>
      </c>
      <c r="U27" s="212" t="n">
        <f aca="false">IF(ISERROR(S27*J27*K27),0,S27*J27*K27)</f>
        <v>26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STISPX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104</v>
      </c>
    </row>
    <row r="28" customFormat="false" ht="12.75" hidden="false" customHeight="false" outlineLevel="0" collapsed="false">
      <c r="A28" s="216" t="s">
        <v>84</v>
      </c>
      <c r="B28" s="217" t="n">
        <v>0.01</v>
      </c>
      <c r="C28" s="218" t="n">
        <v>0.02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Ulothrix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0.015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10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Ulothrix sp.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1142</v>
      </c>
      <c r="R28" s="211" t="n">
        <f aca="false">IF(ISTEXT(H28),"",(B28*$B$7/100)+(C28*$C$7/100))</f>
        <v>0.015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10</v>
      </c>
      <c r="U28" s="212" t="n">
        <f aca="false">IF(ISERROR(S28*J28*K28),0,S28*J28*K28)</f>
        <v>10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ULOSPX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116</v>
      </c>
    </row>
    <row r="29" customFormat="false" ht="12.75" hidden="false" customHeight="false" outlineLevel="0" collapsed="false">
      <c r="A29" s="216" t="s">
        <v>85</v>
      </c>
      <c r="B29" s="217" t="n">
        <v>0.01</v>
      </c>
      <c r="C29" s="218" t="n">
        <v>0.5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Myriophyllum spicatum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0.255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PHy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7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8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Myriophyllum spicatum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1778</v>
      </c>
      <c r="R29" s="211" t="n">
        <f aca="false">IF(ISTEXT(H29),"",(B29*$B$7/100)+(C29*$C$7/100))</f>
        <v>0.255</v>
      </c>
      <c r="S29" s="212" t="n">
        <f aca="false">IF(OR(ISTEXT(H29),R29=0),"",IF(R29&lt;0.1,1,IF(R29&lt;1,2,IF(R29&lt;10,3,IF(R29&lt;50,4,IF(R29&gt;=50,5,""))))))</f>
        <v>2</v>
      </c>
      <c r="T29" s="212" t="n">
        <f aca="false">IF(ISERROR(S29*J29),0,S29*J29)</f>
        <v>16</v>
      </c>
      <c r="U29" s="212" t="n">
        <f aca="false">IF(ISERROR(S29*J29*K29),0,S29*J29*K29)</f>
        <v>32</v>
      </c>
      <c r="V29" s="228" t="n">
        <f aca="false">IF(ISERROR(S29*K29),0,S29*K29)</f>
        <v>4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MYRSPI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486</v>
      </c>
    </row>
    <row r="30" customFormat="false" ht="12.75" hidden="false" customHeight="false" outlineLevel="0" collapsed="false">
      <c r="A30" s="216" t="s">
        <v>86</v>
      </c>
      <c r="B30" s="217" t="n">
        <v>4.5</v>
      </c>
      <c r="C30" s="218" t="n">
        <v>0.5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Nuphar lutea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2.5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PHy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7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9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Nuphar lutea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1839</v>
      </c>
      <c r="R30" s="211" t="n">
        <f aca="false">IF(ISTEXT(H30),"",(B30*$B$7/100)+(C30*$C$7/100))</f>
        <v>2.5</v>
      </c>
      <c r="S30" s="212" t="n">
        <f aca="false">IF(OR(ISTEXT(H30),R30=0),"",IF(R30&lt;0.1,1,IF(R30&lt;1,2,IF(R30&lt;10,3,IF(R30&lt;50,4,IF(R30&gt;=50,5,""))))))</f>
        <v>3</v>
      </c>
      <c r="T30" s="212" t="n">
        <f aca="false">IF(ISERROR(S30*J30),0,S30*J30)</f>
        <v>27</v>
      </c>
      <c r="U30" s="212" t="n">
        <f aca="false">IF(ISERROR(S30*J30*K30),0,S30*J30*K30)</f>
        <v>27</v>
      </c>
      <c r="V30" s="228" t="n">
        <f aca="false">IF(ISERROR(S30*K30),0,S30*K30)</f>
        <v>3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NUPLUT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499</v>
      </c>
    </row>
    <row r="31" customFormat="false" ht="12.75" hidden="false" customHeight="false" outlineLevel="0" collapsed="false">
      <c r="A31" s="216" t="s">
        <v>87</v>
      </c>
      <c r="B31" s="217" t="n">
        <v>0</v>
      </c>
      <c r="C31" s="218" t="n">
        <v>0.01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Potamogeton crispus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0.005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PHy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7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7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2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Potamogeton crispus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1645</v>
      </c>
      <c r="R31" s="211" t="n">
        <f aca="false">IF(ISTEXT(H31),"",(B31*$B$7/100)+(C31*$C$7/100))</f>
        <v>0.005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7</v>
      </c>
      <c r="U31" s="212" t="n">
        <f aca="false">IF(ISERROR(S31*J31*K31),0,S31*J31*K31)</f>
        <v>14</v>
      </c>
      <c r="V31" s="228" t="n">
        <f aca="false">IF(ISERROR(S31*K31),0,S31*K31)</f>
        <v>2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POTCRI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522</v>
      </c>
    </row>
    <row r="32" customFormat="false" ht="12.75" hidden="false" customHeight="false" outlineLevel="0" collapsed="false">
      <c r="A32" s="216" t="s">
        <v>88</v>
      </c>
      <c r="B32" s="217" t="n">
        <v>0</v>
      </c>
      <c r="C32" s="218" t="n">
        <v>0.01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Sparganium erectum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0.005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PHe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8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10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1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Sparganium erectum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1671</v>
      </c>
      <c r="R32" s="211" t="n">
        <f aca="false">IF(ISTEXT(H32),"",(B32*$B$7/100)+(C32*$C$7/100))</f>
        <v>0.005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10</v>
      </c>
      <c r="U32" s="212" t="n">
        <f aca="false">IF(ISERROR(S32*J32*K32),0,S32*J32*K32)</f>
        <v>10</v>
      </c>
      <c r="V32" s="228" t="n">
        <f aca="false">IF(ISERROR(S32*K32),0,S32*K32)</f>
        <v>1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SPAERE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732</v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4.81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22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IRANCE</v>
      </c>
      <c r="B84" s="180" t="str">
        <f aca="false">C3</f>
        <v>IRANCE A MEZERIAT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10.3181818181818</v>
      </c>
      <c r="E84" s="254" t="n">
        <f aca="false">O13</f>
        <v>10</v>
      </c>
      <c r="F84" s="180" t="n">
        <f aca="false">O14</f>
        <v>9</v>
      </c>
      <c r="G84" s="180" t="n">
        <f aca="false">O15</f>
        <v>4</v>
      </c>
      <c r="H84" s="180" t="n">
        <f aca="false">O16</f>
        <v>5</v>
      </c>
      <c r="I84" s="180" t="n">
        <f aca="false">O17</f>
        <v>0</v>
      </c>
      <c r="J84" s="255" t="n">
        <f aca="false">O8</f>
        <v>9.33333333333333</v>
      </c>
      <c r="K84" s="256" t="n">
        <f aca="false">O9</f>
        <v>2.90593262902712</v>
      </c>
      <c r="L84" s="257" t="n">
        <f aca="false">O10</f>
        <v>6</v>
      </c>
      <c r="M84" s="257" t="n">
        <f aca="false">O11</f>
        <v>15</v>
      </c>
      <c r="N84" s="256" t="n">
        <f aca="false">P8</f>
        <v>1.55555555555556</v>
      </c>
      <c r="O84" s="256" t="n">
        <f aca="false">P9</f>
        <v>0.496903994999953</v>
      </c>
      <c r="P84" s="257" t="n">
        <f aca="false">P10</f>
        <v>1</v>
      </c>
      <c r="Q84" s="257" t="n">
        <f aca="false">P11</f>
        <v>2</v>
      </c>
      <c r="R84" s="257" t="n">
        <f aca="false">F21</f>
        <v>4.81</v>
      </c>
      <c r="S84" s="257" t="n">
        <f aca="false">L11</f>
        <v>0</v>
      </c>
      <c r="T84" s="257" t="n">
        <f aca="false">L12</f>
        <v>6</v>
      </c>
      <c r="U84" s="257" t="n">
        <f aca="false">L13</f>
        <v>0</v>
      </c>
      <c r="V84" s="258" t="n">
        <f aca="false">L15</f>
        <v>4</v>
      </c>
      <c r="W84" s="259" t="n">
        <f aca="false">L15</f>
        <v>4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89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90</v>
      </c>
      <c r="S87" s="8"/>
      <c r="T87" s="263" t="n">
        <f aca="false">VLOOKUP($T$91,($A$23:$U$82),20,FALSE())</f>
        <v>45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91</v>
      </c>
      <c r="S88" s="8"/>
      <c r="T88" s="263" t="n">
        <f aca="false">VLOOKUP($T$91,($A$23:$U$82),21,FALSE())</f>
        <v>90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92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93</v>
      </c>
      <c r="S90" s="8" t="s">
        <v>10</v>
      </c>
      <c r="T90" s="264" t="n">
        <f aca="false">IF(OR(ISERROR(SUM($U$23:$U$82)/SUM($V$23:$V$82)),F7&lt;&gt;100),-1,(SUM($U$23:$U$82)-T88)/(SUM($V$23:$V$82)-T89))</f>
        <v>8.5625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94</v>
      </c>
      <c r="S91" s="212"/>
      <c r="T91" s="212" t="str">
        <f aca="false">INDEX('[1]liste reference'!$A$6:$A$1174,$U$91)</f>
        <v>HILSPX</v>
      </c>
      <c r="U91" s="8" t="n">
        <f aca="false">IF(ISERROR(MATCH($T$93,'[1]liste reference'!$A$6:$A$1174,0)),MATCH($T$93,'[1]liste reference'!$B$6:$B$1174,0),(MATCH($T$93,'[1]liste reference'!$A$6:$A$1174,0)))</f>
        <v>53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95</v>
      </c>
      <c r="S92" s="8"/>
      <c r="T92" s="8" t="n">
        <f aca="false">MATCH(T89,$V$23:$V$82,0)</f>
        <v>3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96</v>
      </c>
      <c r="S93" s="8"/>
      <c r="T93" s="212" t="str">
        <f aca="false">INDEX($A$23:$A$82,$T$92)</f>
        <v>HILSPX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2015-12-28T16:17:00Z</dcterms:created>
  <dc:creator>Laboratoire hydrobiologie SAGE</dc:creator>
  <dc:description/>
  <dc:language>fr-FR</dc:language>
  <cp:lastModifiedBy>Laboratoire hydrobiologie SAGE</cp:lastModifiedBy>
  <dcterms:modified xsi:type="dcterms:W3CDTF">2015-12-28T16:17:04Z</dcterms:modified>
  <cp:revision>0</cp:revision>
  <dc:subject/>
  <dc:title/>
</cp:coreProperties>
</file>