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Override PartName="/xl/_rels/workbook.xml.rels" ContentType="application/vnd.openxmlformats-package.relationships+xml"/>
  <Override PartName="/xl/workbook.xml" ContentType="application/vnd.openxmlformats-officedocument.spreadsheetml.sheet.main+xml"/>
  <Override PartName="/xl/theme/theme1.xml" ContentType="application/vnd.openxmlformats-officedocument.theme+xml"/>
  <Override PartName="/xl/styles.xml" ContentType="application/vnd.openxmlformats-officedocument.spreadsheetml.styles+xml"/>
  <Override PartName="/xl/worksheets/_rels/sheet1.xml.rels" ContentType="application/vnd.openxmlformats-package.relationships+xml"/>
  <Override PartName="/xl/worksheets/sheet1.xml" ContentType="application/vnd.openxmlformats-officedocument.spreadsheetml.worksheet+xml"/>
  <Override PartName="/xl/externalLinks/_rels/externalLink1.xml.rels" ContentType="application/vnd.openxmlformats-package.relationships+xml"/>
  <Override PartName="/xl/externalLinks/externalLink1.xml" ContentType="application/vnd.openxmlformats-officedocument.spreadsheetml.externalLink+xml"/>
  <Override PartName="/xl/sharedStrings.xml" ContentType="application/vnd.openxmlformats-officedocument.spreadsheetml.sharedStrings+xml"/>
  <Override PartName="/xl/comments1.xml" ContentType="application/vnd.openxmlformats-officedocument.spreadsheetml.comments+xml"/>
  <Override PartName="/xl/drawings/drawing1.xml" ContentType="application/vnd.openxmlformats-officedocument.drawing+xml"/>
  <Override PartName="/xl/drawings/vmlDrawing1.vml" ContentType="application/vnd.openxmlformats-officedocument.vmlDrawing"/>
  <Override PartName="/_rels/.rels" ContentType="application/vnd.openxmlformats-package.relationships+xml"/>
  <Override PartName="/docProps/core.xml" ContentType="application/vnd.openxmlformats-package.core-properties+xml"/>
  <Override PartName="/docProps/app.xml" ContentType="application/vnd.openxmlformats-officedocument.extended-propertie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officedocument/2006/relationships/metadata/core-properties" Target="docProps/core.xml"/><Relationship Id="rId3" Type="http://schemas.openxmlformats.org/officeDocument/2006/relationships/extended-properties" Target="docProps/app.xml"/>
</Relationships>
</file>

<file path=xl/workbook.xml><?xml version="1.0" encoding="utf-8"?>
<workbook xmlns="http://schemas.openxmlformats.org/spreadsheetml/2006/main" xmlns:r="http://schemas.openxmlformats.org/officeDocument/2006/relationships">
  <fileVersion appName="Calc"/>
  <workbookPr backupFile="false" showObjects="all" dateCompatibility="false"/>
  <workbookProtection/>
  <bookViews>
    <workbookView showHorizontalScroll="true" showVerticalScroll="true" showSheetTabs="true" xWindow="0" yWindow="0" windowWidth="16384" windowHeight="8192" tabRatio="500" firstSheet="0" activeTab="0"/>
  </bookViews>
  <sheets>
    <sheet name="Saisie_LF" sheetId="1" state="visible" r:id="rId3"/>
  </sheets>
  <externalReferences>
    <externalReference r:id="rId4"/>
  </externalReferences>
  <definedNames>
    <definedName function="false" hidden="false" localSheetId="0" name="_xlnm.Print_Area" vbProcedure="false">Saisie_LF!$A$1:$O$82</definedName>
    <definedName function="false" hidden="false" name="Cf_" vbProcedure="false">'[1]liste codes réf'!$F$29:$F$30</definedName>
    <definedName function="false" hidden="false" name="type_courant" vbProcedure="false">'[1]liste codes réf'!$F$16:$F$25</definedName>
    <definedName function="false" hidden="false" localSheetId="0" name="Excel_BuiltIn__FilterDatabase" vbProcedure="false">Saisie_LF!$A$23:$J$84</definedName>
    <definedName function="false" hidden="false" localSheetId="0" name="NOM" vbProcedure="false">Saisie_LF!$H$1</definedName>
  </definedNames>
  <calcPr iterateCount="100" refMode="A1" iterate="false" iterateDelta="0.001"/>
  <extLst>
    <ext xmlns:loext="http://schemas.libreoffice.org/" uri="{7626C862-2A13-11E5-B345-FEFF819CDC9F}">
      <loext:extCalcPr stringRefSyntax="CalcA1"/>
    </ext>
  </extLst>
</workbook>
</file>

<file path=xl/comments1.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A2" authorId="0">
      <text>
        <r>
          <rPr>
            <sz val="8"/>
            <color rgb="FF000000"/>
            <rFont val="Tahoma"/>
            <family val="2"/>
          </rPr>
          <t xml:space="preserve">Renseigner éventuellement l'organisme qui a réalisé le relevé (pour édition ou archivage).</t>
        </r>
      </text>
      <mc:AlternateContent>
        <mc:Choice Requires="v2">
          <commentPr autoFill="true" autoScale="false" colHidden="false" locked="false" rowHidden="false" textHAlign="justify" textVAlign="top">
            <anchor moveWithCells="false" sizeWithCells="false">
              <xdr:from>
                <xdr:col>1</xdr:col>
                <xdr:colOff>16</xdr:colOff>
                <xdr:row>0</xdr:row>
                <xdr:rowOff>11</xdr:rowOff>
              </xdr:from>
              <xdr:to>
                <xdr:col>8</xdr:col>
                <xdr:colOff>15</xdr:colOff>
                <xdr:row>2</xdr:row>
                <xdr:rowOff>8</xdr:rowOff>
              </xdr:to>
            </anchor>
          </commentPr>
        </mc:Choice>
        <mc:Fallback/>
      </mc:AlternateContent>
    </comment>
    <comment ref="A3" authorId="0">
      <text>
        <r>
          <rPr>
            <sz val="8"/>
            <color rgb="FF000000"/>
            <rFont val="Tahoma"/>
            <family val="2"/>
          </rPr>
          <t xml:space="preserve">Cours d'eau</t>
        </r>
      </text>
      <mc:AlternateContent>
        <mc:Choice Requires="v2">
          <commentPr autoFill="true" autoScale="false" colHidden="false" locked="false" rowHidden="false" textHAlign="justify" textVAlign="top">
            <anchor moveWithCells="false" sizeWithCells="false">
              <xdr:from>
                <xdr:col>1</xdr:col>
                <xdr:colOff>16</xdr:colOff>
                <xdr:row>1</xdr:row>
                <xdr:rowOff>6</xdr:rowOff>
              </xdr:from>
              <xdr:to>
                <xdr:col>5</xdr:col>
                <xdr:colOff>10</xdr:colOff>
                <xdr:row>2</xdr:row>
                <xdr:rowOff>12</xdr:rowOff>
              </xdr:to>
            </anchor>
          </commentPr>
        </mc:Choice>
        <mc:Fallback/>
      </mc:AlternateContent>
    </comment>
    <comment ref="A4" authorId="0">
      <text>
        <r>
          <rPr>
            <sz val="8"/>
            <color rgb="FF000000"/>
            <rFont val="Tahoma"/>
            <family val="2"/>
          </rPr>
          <t xml:space="preserve">date du relevé</t>
        </r>
      </text>
      <mc:AlternateContent>
        <mc:Choice Requires="v2">
          <commentPr autoFill="true" autoScale="false" colHidden="false" locked="false" rowHidden="false" textHAlign="justify" textVAlign="top">
            <anchor moveWithCells="false" sizeWithCells="false">
              <xdr:from>
                <xdr:col>1</xdr:col>
                <xdr:colOff>16</xdr:colOff>
                <xdr:row>2</xdr:row>
                <xdr:rowOff>6</xdr:rowOff>
              </xdr:from>
              <xdr:to>
                <xdr:col>5</xdr:col>
                <xdr:colOff>10</xdr:colOff>
                <xdr:row>3</xdr:row>
                <xdr:rowOff>4</xdr:rowOff>
              </xdr:to>
            </anchor>
          </commentPr>
        </mc:Choice>
        <mc:Fallback/>
      </mc:AlternateContent>
    </comment>
    <comment ref="A22" authorId="0">
      <text>
        <r>
          <rPr>
            <b val="true"/>
            <sz val="8"/>
            <color rgb="FF000000"/>
            <rFont val="Tahoma"/>
            <family val="2"/>
          </rPr>
          <t xml:space="preserve">Taper le code du taxon ou 
choisir le nom dans la liste déroulante</t>
        </r>
        <r>
          <rPr>
            <sz val="8"/>
            <color rgb="FF000000"/>
            <rFont val="Tahoma"/>
            <family val="2"/>
          </rPr>
          <t xml:space="preserve"> (présentés par ordre alphabétique).
Remplir la colonne "confer", sur la droite, si le taxon fait seulement référence à celui choisi.
Il est possible de saisir un nouveau code intitulé NEW.COD s'il n'en existe pas pour le taxon inventorié. Saisir le nom du taxon correspondant dans la colonne "nouveaux taxa hors liste de référence".
</t>
        </r>
        <r>
          <rPr>
            <i val="true"/>
            <sz val="8"/>
            <color rgb="FF000000"/>
            <rFont val="Tahoma"/>
            <family val="2"/>
          </rPr>
          <t xml:space="preserve">Les codes déjà saisis apparaîssent en rouge.</t>
        </r>
      </text>
      <mc:AlternateContent>
        <mc:Choice Requires="v2">
          <commentPr autoFill="true" autoScale="false" colHidden="false" locked="false" rowHidden="false" textHAlign="justify" textVAlign="top">
            <anchor moveWithCells="false" sizeWithCells="false">
              <xdr:from>
                <xdr:col>1</xdr:col>
                <xdr:colOff>16</xdr:colOff>
                <xdr:row>20</xdr:row>
                <xdr:rowOff>6</xdr:rowOff>
              </xdr:from>
              <xdr:to>
                <xdr:col>14</xdr:col>
                <xdr:colOff>19</xdr:colOff>
                <xdr:row>25</xdr:row>
                <xdr:rowOff>17</xdr:rowOff>
              </xdr:to>
            </anchor>
          </commentPr>
        </mc:Choice>
        <mc:Fallback/>
      </mc:AlternateContent>
    </comment>
    <comment ref="B6" authorId="0">
      <text>
        <r>
          <rPr>
            <sz val="8"/>
            <color rgb="FF000000"/>
            <rFont val="Tahoma"/>
            <family val="2"/>
          </rPr>
          <t xml:space="preserve">Type de faciès:
- ch. lotique
- plat courant
- radier
- rapide
- cascade
- autre</t>
        </r>
      </text>
      <mc:AlternateContent>
        <mc:Choice Requires="v2">
          <commentPr autoFill="true" autoScale="false" colHidden="false" locked="false" rowHidden="false" textHAlign="justify" textVAlign="top">
            <anchor moveWithCells="false" sizeWithCells="false">
              <xdr:from>
                <xdr:col>2</xdr:col>
                <xdr:colOff>0</xdr:colOff>
                <xdr:row>2</xdr:row>
                <xdr:rowOff>7</xdr:rowOff>
              </xdr:from>
              <xdr:to>
                <xdr:col>5</xdr:col>
                <xdr:colOff>25</xdr:colOff>
                <xdr:row>9</xdr:row>
                <xdr:rowOff>1</xdr:rowOff>
              </xdr:to>
            </anchor>
          </commentPr>
        </mc:Choice>
        <mc:Fallback/>
      </mc:AlternateContent>
    </comment>
    <comment ref="B7" authorId="0">
      <text>
        <r>
          <rPr>
            <sz val="8"/>
            <color rgb="FF000000"/>
            <rFont val="Tahoma"/>
            <family val="2"/>
          </rPr>
          <t xml:space="preserve">part du faciès courant sur la station.</t>
        </r>
      </text>
      <mc:AlternateContent>
        <mc:Choice Requires="v2">
          <commentPr autoFill="true" autoScale="false" colHidden="false" locked="false" rowHidden="false" textHAlign="justify" textVAlign="top">
            <anchor moveWithCells="false" sizeWithCells="false">
              <xdr:from>
                <xdr:col>2</xdr:col>
                <xdr:colOff>0</xdr:colOff>
                <xdr:row>4</xdr:row>
                <xdr:rowOff>18</xdr:rowOff>
              </xdr:from>
              <xdr:to>
                <xdr:col>6</xdr:col>
                <xdr:colOff>28</xdr:colOff>
                <xdr:row>6</xdr:row>
                <xdr:rowOff>12</xdr:rowOff>
              </xdr:to>
            </anchor>
          </commentPr>
        </mc:Choice>
        <mc:Fallback/>
      </mc:AlternateContent>
    </comment>
    <comment ref="B20" authorId="0">
      <text>
        <r>
          <rPr>
            <sz val="8"/>
            <color rgb="FF000000"/>
            <rFont val="Tahoma"/>
            <family val="2"/>
          </rPr>
          <t xml:space="preserve">A comparer avec la surface végétalisée totale du faciès.</t>
        </r>
      </text>
      <mc:AlternateContent>
        <mc:Choice Requires="v2">
          <commentPr autoFill="true" autoScale="false" colHidden="false" locked="false" rowHidden="false" textHAlign="justify" textVAlign="top">
            <anchor moveWithCells="false" sizeWithCells="false">
              <xdr:from>
                <xdr:col>2</xdr:col>
                <xdr:colOff>0</xdr:colOff>
                <xdr:row>17</xdr:row>
                <xdr:rowOff>13</xdr:rowOff>
              </xdr:from>
              <xdr:to>
                <xdr:col>6</xdr:col>
                <xdr:colOff>28</xdr:colOff>
                <xdr:row>20</xdr:row>
                <xdr:rowOff>5</xdr:rowOff>
              </xdr:to>
            </anchor>
          </commentPr>
        </mc:Choice>
        <mc:Fallback/>
      </mc:AlternateContent>
    </comment>
    <comment ref="B21" authorId="0">
      <text>
        <r>
          <rPr>
            <sz val="8"/>
            <color rgb="FF000000"/>
            <rFont val="Tahoma"/>
            <family val="2"/>
          </rPr>
          <t xml:space="preserve">contribution du faciès au recouvrement total station.</t>
        </r>
      </text>
      <mc:AlternateContent>
        <mc:Choice Requires="v2">
          <commentPr autoFill="true" autoScale="false" colHidden="false" locked="false" rowHidden="false" textHAlign="justify" textVAlign="top">
            <anchor moveWithCells="false" sizeWithCells="false">
              <xdr:from>
                <xdr:col>2</xdr:col>
                <xdr:colOff>0</xdr:colOff>
                <xdr:row>18</xdr:row>
                <xdr:rowOff>15</xdr:rowOff>
              </xdr:from>
              <xdr:to>
                <xdr:col>6</xdr:col>
                <xdr:colOff>28</xdr:colOff>
                <xdr:row>21</xdr:row>
                <xdr:rowOff>8</xdr:rowOff>
              </xdr:to>
            </anchor>
          </commentPr>
        </mc:Choice>
        <mc:Fallback/>
      </mc:AlternateContent>
    </comment>
    <comment ref="B22" authorId="0">
      <text>
        <r>
          <rPr>
            <b val="true"/>
            <sz val="8"/>
            <color rgb="FF000000"/>
            <rFont val="Tahoma"/>
            <family val="2"/>
          </rPr>
          <t xml:space="preserve">Saisir le % de recouvrement dans le faciès courant
</t>
        </r>
      </text>
      <mc:AlternateContent>
        <mc:Choice Requires="v2">
          <commentPr autoFill="true" autoScale="false" colHidden="false" locked="false" rowHidden="false" textHAlign="justify" textVAlign="top">
            <anchor moveWithCells="false" sizeWithCells="false">
              <xdr:from>
                <xdr:col>2</xdr:col>
                <xdr:colOff>0</xdr:colOff>
                <xdr:row>20</xdr:row>
                <xdr:rowOff>6</xdr:rowOff>
              </xdr:from>
              <xdr:to>
                <xdr:col>6</xdr:col>
                <xdr:colOff>34</xdr:colOff>
                <xdr:row>23</xdr:row>
                <xdr:rowOff>6</xdr:rowOff>
              </xdr:to>
            </anchor>
          </commentPr>
        </mc:Choice>
        <mc:Fallback/>
      </mc:AlternateContent>
    </comment>
    <comment ref="C2" authorId="0">
      <text>
        <r>
          <rPr>
            <sz val="8"/>
            <color rgb="FF000000"/>
            <rFont val="Tahoma"/>
            <family val="2"/>
          </rPr>
          <t xml:space="preserve">personnes ayant réalisées le relevé
</t>
        </r>
      </text>
      <mc:AlternateContent>
        <mc:Choice Requires="v2">
          <commentPr autoFill="true" autoScale="false" colHidden="false" locked="false" rowHidden="false" textHAlign="justify" textVAlign="top">
            <anchor moveWithCells="false" sizeWithCells="false">
              <xdr:from>
                <xdr:col>5</xdr:col>
                <xdr:colOff>16</xdr:colOff>
                <xdr:row>0</xdr:row>
                <xdr:rowOff>11</xdr:rowOff>
              </xdr:from>
              <xdr:to>
                <xdr:col>9</xdr:col>
                <xdr:colOff>15</xdr:colOff>
                <xdr:row>2</xdr:row>
                <xdr:rowOff>4</xdr:rowOff>
              </xdr:to>
            </anchor>
          </commentPr>
        </mc:Choice>
        <mc:Fallback/>
      </mc:AlternateContent>
    </comment>
    <comment ref="C3" authorId="0">
      <text>
        <r>
          <rPr>
            <sz val="8"/>
            <color rgb="FF000000"/>
            <rFont val="Tahoma"/>
            <family val="2"/>
          </rPr>
          <t xml:space="preserve">Nom de la station</t>
        </r>
      </text>
      <mc:AlternateContent>
        <mc:Choice Requires="v2">
          <commentPr autoFill="true" autoScale="false" colHidden="false" locked="false" rowHidden="false" textHAlign="justify" textVAlign="top">
            <anchor moveWithCells="false" sizeWithCells="false">
              <xdr:from>
                <xdr:col>5</xdr:col>
                <xdr:colOff>16</xdr:colOff>
                <xdr:row>1</xdr:row>
                <xdr:rowOff>6</xdr:rowOff>
              </xdr:from>
              <xdr:to>
                <xdr:col>9</xdr:col>
                <xdr:colOff>11</xdr:colOff>
                <xdr:row>2</xdr:row>
                <xdr:rowOff>11</xdr:rowOff>
              </xdr:to>
            </anchor>
          </commentPr>
        </mc:Choice>
        <mc:Fallback/>
      </mc:AlternateContent>
    </comment>
    <comment ref="C6" authorId="0">
      <text>
        <r>
          <rPr>
            <sz val="8"/>
            <color rgb="FF000000"/>
            <rFont val="Tahoma"/>
            <family val="2"/>
          </rPr>
          <t xml:space="preserve">Type de faciès:
- ch. lotique
- plat courant
- radier
- rapide
- cascade
- autre</t>
        </r>
      </text>
      <mc:AlternateContent>
        <mc:Choice Requires="v2">
          <commentPr autoFill="true" autoScale="false" colHidden="false" locked="false" rowHidden="false" textHAlign="justify" textVAlign="top">
            <anchor moveWithCells="false" sizeWithCells="false">
              <xdr:from>
                <xdr:col>5</xdr:col>
                <xdr:colOff>16</xdr:colOff>
                <xdr:row>4</xdr:row>
                <xdr:rowOff>8</xdr:rowOff>
              </xdr:from>
              <xdr:to>
                <xdr:col>8</xdr:col>
                <xdr:colOff>16</xdr:colOff>
                <xdr:row>11</xdr:row>
                <xdr:rowOff>4</xdr:rowOff>
              </xdr:to>
            </anchor>
          </commentPr>
        </mc:Choice>
        <mc:Fallback/>
      </mc:AlternateContent>
    </comment>
    <comment ref="C7" authorId="0">
      <text>
        <r>
          <rPr>
            <sz val="8"/>
            <color rgb="FF000000"/>
            <rFont val="Tahoma"/>
            <family val="2"/>
          </rPr>
          <t xml:space="preserve">part du faciès lent
sur la station.</t>
        </r>
      </text>
      <mc:AlternateContent>
        <mc:Choice Requires="v2">
          <commentPr autoFill="true" autoScale="false" colHidden="false" locked="false" rowHidden="false" textHAlign="justify" textVAlign="top">
            <anchor moveWithCells="false" sizeWithCells="false">
              <xdr:from>
                <xdr:col>5</xdr:col>
                <xdr:colOff>8</xdr:colOff>
                <xdr:row>6</xdr:row>
                <xdr:rowOff>1</xdr:rowOff>
              </xdr:from>
              <xdr:to>
                <xdr:col>9</xdr:col>
                <xdr:colOff>18</xdr:colOff>
                <xdr:row>7</xdr:row>
                <xdr:rowOff>15</xdr:rowOff>
              </xdr:to>
            </anchor>
          </commentPr>
        </mc:Choice>
        <mc:Fallback/>
      </mc:AlternateContent>
    </comment>
    <comment ref="C20" authorId="0">
      <text>
        <r>
          <rPr>
            <sz val="8"/>
            <color rgb="FF000000"/>
            <rFont val="Tahoma"/>
            <family val="2"/>
          </rPr>
          <t xml:space="preserve">A comparer avec la surface végétalisée totale du faciès.</t>
        </r>
      </text>
      <mc:AlternateContent>
        <mc:Choice Requires="v2">
          <commentPr autoFill="true" autoScale="false" colHidden="false" locked="false" rowHidden="false" textHAlign="justify" textVAlign="top">
            <anchor moveWithCells="false" sizeWithCells="false">
              <xdr:from>
                <xdr:col>6</xdr:col>
                <xdr:colOff>0</xdr:colOff>
                <xdr:row>17</xdr:row>
                <xdr:rowOff>13</xdr:rowOff>
              </xdr:from>
              <xdr:to>
                <xdr:col>8</xdr:col>
                <xdr:colOff>0</xdr:colOff>
                <xdr:row>20</xdr:row>
                <xdr:rowOff>5</xdr:rowOff>
              </xdr:to>
            </anchor>
          </commentPr>
        </mc:Choice>
        <mc:Fallback/>
      </mc:AlternateContent>
    </comment>
    <comment ref="C21" authorId="0">
      <text>
        <r>
          <rPr>
            <sz val="8"/>
            <color rgb="FF000000"/>
            <rFont val="Tahoma"/>
            <family val="2"/>
          </rPr>
          <t xml:space="preserve">contribution du faciès au recouvrement total station.</t>
        </r>
      </text>
      <mc:AlternateContent>
        <mc:Choice Requires="v2">
          <commentPr autoFill="true" autoScale="false" colHidden="false" locked="false" rowHidden="false" textHAlign="justify" textVAlign="top">
            <anchor moveWithCells="false" sizeWithCells="false">
              <xdr:from>
                <xdr:col>6</xdr:col>
                <xdr:colOff>0</xdr:colOff>
                <xdr:row>18</xdr:row>
                <xdr:rowOff>15</xdr:rowOff>
              </xdr:from>
              <xdr:to>
                <xdr:col>11</xdr:col>
                <xdr:colOff>3</xdr:colOff>
                <xdr:row>20</xdr:row>
                <xdr:rowOff>12</xdr:rowOff>
              </xdr:to>
            </anchor>
          </commentPr>
        </mc:Choice>
        <mc:Fallback/>
      </mc:AlternateContent>
    </comment>
    <comment ref="C22" authorId="0">
      <text>
        <r>
          <rPr>
            <b val="true"/>
            <sz val="8"/>
            <color rgb="FF000000"/>
            <rFont val="Tahoma"/>
            <family val="2"/>
          </rPr>
          <t xml:space="preserve">Saisir le % de recouvrement dans le faciès lent
</t>
        </r>
      </text>
      <mc:AlternateContent>
        <mc:Choice Requires="v2">
          <commentPr autoFill="true" autoScale="false" colHidden="false" locked="false" rowHidden="false" textHAlign="justify" textVAlign="top">
            <anchor moveWithCells="false" sizeWithCells="false">
              <xdr:from>
                <xdr:col>6</xdr:col>
                <xdr:colOff>0</xdr:colOff>
                <xdr:row>19</xdr:row>
                <xdr:rowOff>14</xdr:rowOff>
              </xdr:from>
              <xdr:to>
                <xdr:col>9</xdr:col>
                <xdr:colOff>10</xdr:colOff>
                <xdr:row>23</xdr:row>
                <xdr:rowOff>2</xdr:rowOff>
              </xdr:to>
            </anchor>
          </commentPr>
        </mc:Choice>
        <mc:Fallback/>
      </mc:AlternateContent>
    </comment>
    <comment ref="F8" authorId="0">
      <text>
        <r>
          <rPr>
            <sz val="8"/>
            <color rgb="FF000000"/>
            <rFont val="Tahoma"/>
            <family val="2"/>
          </rPr>
          <t xml:space="preserve">total du taux de recouvrement de faciès pondérés par la surface relative des faciès (= total théorique station).</t>
        </r>
      </text>
      <mc:AlternateContent>
        <mc:Choice Requires="v2">
          <commentPr autoFill="true" autoScale="false" colHidden="false" locked="false" rowHidden="false" textHAlign="justify" textVAlign="top">
            <anchor moveWithCells="false" sizeWithCells="false">
              <xdr:from>
                <xdr:col>10</xdr:col>
                <xdr:colOff>50</xdr:colOff>
                <xdr:row>6</xdr:row>
                <xdr:rowOff>6</xdr:rowOff>
              </xdr:from>
              <xdr:to>
                <xdr:col>14</xdr:col>
                <xdr:colOff>51</xdr:colOff>
                <xdr:row>9</xdr:row>
                <xdr:rowOff>1</xdr:rowOff>
              </xdr:to>
            </anchor>
          </commentPr>
        </mc:Choice>
        <mc:Fallback/>
      </mc:AlternateContent>
    </comment>
    <comment ref="F19" authorId="0">
      <text>
        <r>
          <rPr>
            <sz val="8"/>
            <color rgb="FF000000"/>
            <rFont val="Tahoma"/>
            <family val="2"/>
          </rPr>
          <t xml:space="preserve">total des recouvrements pondérés par groupes (hors périphyton).</t>
        </r>
      </text>
      <mc:AlternateContent>
        <mc:Choice Requires="v2">
          <commentPr autoFill="true" autoScale="false" colHidden="false" locked="false" rowHidden="false" textHAlign="justify" textVAlign="top">
            <anchor moveWithCells="false" sizeWithCells="false">
              <xdr:from>
                <xdr:col>9</xdr:col>
                <xdr:colOff>21</xdr:colOff>
                <xdr:row>17</xdr:row>
                <xdr:rowOff>8</xdr:rowOff>
              </xdr:from>
              <xdr:to>
                <xdr:col>13</xdr:col>
                <xdr:colOff>34</xdr:colOff>
                <xdr:row>20</xdr:row>
                <xdr:rowOff>2</xdr:rowOff>
              </xdr:to>
            </anchor>
          </commentPr>
        </mc:Choice>
        <mc:Fallback/>
      </mc:AlternateContent>
    </comment>
    <comment ref="F21" authorId="0">
      <text>
        <r>
          <rPr>
            <sz val="8"/>
            <color rgb="FF000000"/>
            <rFont val="Tahoma"/>
            <family val="2"/>
          </rPr>
          <t xml:space="preserve">somme des recouvrements 
pondérés (taxons).</t>
        </r>
      </text>
      <mc:AlternateContent>
        <mc:Choice Requires="v2">
          <commentPr autoFill="true" autoScale="false" colHidden="false" locked="false" rowHidden="false" textHAlign="justify" textVAlign="top">
            <anchor moveWithCells="false" sizeWithCells="false">
              <xdr:from>
                <xdr:col>9</xdr:col>
                <xdr:colOff>21</xdr:colOff>
                <xdr:row>19</xdr:row>
                <xdr:rowOff>8</xdr:rowOff>
              </xdr:from>
              <xdr:to>
                <xdr:col>13</xdr:col>
                <xdr:colOff>34</xdr:colOff>
                <xdr:row>21</xdr:row>
                <xdr:rowOff>12</xdr:rowOff>
              </xdr:to>
            </anchor>
          </commentPr>
        </mc:Choice>
        <mc:Fallback/>
      </mc:AlternateContent>
    </comment>
    <comment ref="F22" authorId="0">
      <text>
        <r>
          <rPr>
            <sz val="8"/>
            <color rgb="FF000000"/>
            <rFont val="Tahoma"/>
            <family val="2"/>
          </rPr>
          <t xml:space="preserve">recouvrement de chaque taxon sur l'ensemble de la station (somme des recouvrements pondérés par faciès).</t>
        </r>
      </text>
      <mc:AlternateContent>
        <mc:Choice Requires="v2">
          <commentPr autoFill="true" autoScale="false" colHidden="false" locked="false" rowHidden="false" textHAlign="justify" textVAlign="top">
            <anchor moveWithCells="false" sizeWithCells="false">
              <xdr:from>
                <xdr:col>8</xdr:col>
                <xdr:colOff>25</xdr:colOff>
                <xdr:row>20</xdr:row>
                <xdr:rowOff>11</xdr:rowOff>
              </xdr:from>
              <xdr:to>
                <xdr:col>13</xdr:col>
                <xdr:colOff>12</xdr:colOff>
                <xdr:row>23</xdr:row>
                <xdr:rowOff>8</xdr:rowOff>
              </xdr:to>
            </anchor>
          </commentPr>
        </mc:Choice>
        <mc:Fallback/>
      </mc:AlternateContent>
    </comment>
    <comment ref="G7" authorId="0">
      <text>
        <r>
          <rPr>
            <sz val="8"/>
            <color rgb="FF000000"/>
            <rFont val="Tahoma"/>
            <family val="2"/>
          </rPr>
          <t xml:space="preserve">contrôle : la somme des recouvrements des faciès doit être égale à 100 %.</t>
        </r>
      </text>
      <mc:AlternateContent>
        <mc:Choice Requires="v2">
          <commentPr autoFill="true" autoScale="false" colHidden="false" locked="false" rowHidden="false" textHAlign="justify" textVAlign="top">
            <anchor moveWithCells="false" sizeWithCells="false">
              <xdr:from>
                <xdr:col>11</xdr:col>
                <xdr:colOff>21</xdr:colOff>
                <xdr:row>5</xdr:row>
                <xdr:rowOff>7</xdr:rowOff>
              </xdr:from>
              <xdr:to>
                <xdr:col>12</xdr:col>
                <xdr:colOff>60</xdr:colOff>
                <xdr:row>8</xdr:row>
                <xdr:rowOff>14</xdr:rowOff>
              </xdr:to>
            </anchor>
          </commentPr>
        </mc:Choice>
        <mc:Fallback/>
      </mc:AlternateContent>
    </comment>
    <comment ref="G22" authorId="0">
      <text>
        <r>
          <rPr>
            <b val="true"/>
            <sz val="8"/>
            <color rgb="FF000000"/>
            <rFont val="Tahoma"/>
            <family val="2"/>
          </rPr>
          <t xml:space="preserve">type floristique:
</t>
        </r>
        <r>
          <rPr>
            <sz val="8"/>
            <color rgb="FF000000"/>
            <rFont val="Tahoma"/>
            <family val="2"/>
          </rPr>
          <t xml:space="preserve">HET : hétérotrophes
ALG : algues
LIC : lichens
BRm : mousses
BRh : hépathiques
PTE : ptéridophytes
PHy : hydrophytes
PHe : hélophytes
PHg : hygrophytes
PHx : autres phanérogames</t>
        </r>
      </text>
      <mc:AlternateContent>
        <mc:Choice Requires="v2">
          <commentPr autoFill="true" autoScale="false" colHidden="false" locked="false" rowHidden="false" textHAlign="justify" textVAlign="top">
            <anchor moveWithCells="false" sizeWithCells="false">
              <xdr:from>
                <xdr:col>9</xdr:col>
                <xdr:colOff>21</xdr:colOff>
                <xdr:row>18</xdr:row>
                <xdr:rowOff>6</xdr:rowOff>
              </xdr:from>
              <xdr:to>
                <xdr:col>13</xdr:col>
                <xdr:colOff>30</xdr:colOff>
                <xdr:row>28</xdr:row>
                <xdr:rowOff>2</xdr:rowOff>
              </xdr:to>
            </anchor>
          </commentPr>
        </mc:Choice>
        <mc:Fallback/>
      </mc:AlternateContent>
    </comment>
    <comment ref="H22" authorId="0">
      <text>
        <r>
          <rPr>
            <sz val="8"/>
            <color rgb="FF000000"/>
            <rFont val="Tahoma"/>
            <family val="2"/>
          </rPr>
          <t xml:space="preserve">code groupe (1 à 10)
NC : non coté IBMR.
NI : non inventorié</t>
        </r>
      </text>
      <mc:AlternateContent>
        <mc:Choice Requires="v2">
          <commentPr autoFill="true" autoScale="false" colHidden="true" locked="false" rowHidden="false" textHAlign="justify" textVAlign="top">
            <anchor moveWithCells="false" sizeWithCells="false">
              <xdr:from>
                <xdr:col>10</xdr:col>
                <xdr:colOff>50</xdr:colOff>
                <xdr:row>19</xdr:row>
                <xdr:rowOff>14</xdr:rowOff>
              </xdr:from>
              <xdr:to>
                <xdr:col>13</xdr:col>
                <xdr:colOff>26</xdr:colOff>
                <xdr:row>22</xdr:row>
                <xdr:rowOff>17</xdr:rowOff>
              </xdr:to>
            </anchor>
          </commentPr>
        </mc:Choice>
        <mc:Fallback/>
      </mc:AlternateContent>
    </comment>
    <comment ref="I22" authorId="0">
      <text>
        <r>
          <rPr>
            <b val="true"/>
            <sz val="8"/>
            <color rgb="FF000000"/>
            <rFont val="Tahoma"/>
            <family val="2"/>
          </rPr>
          <t xml:space="preserve">Cote spécifique</t>
        </r>
      </text>
      <mc:AlternateContent>
        <mc:Choice Requires="v2">
          <commentPr autoFill="true" autoScale="false" colHidden="false" locked="false" rowHidden="false" textHAlign="justify" textVAlign="top">
            <anchor moveWithCells="false" sizeWithCells="false">
              <xdr:from>
                <xdr:col>10</xdr:col>
                <xdr:colOff>8</xdr:colOff>
                <xdr:row>20</xdr:row>
                <xdr:rowOff>8</xdr:rowOff>
              </xdr:from>
              <xdr:to>
                <xdr:col>13</xdr:col>
                <xdr:colOff>10</xdr:colOff>
                <xdr:row>21</xdr:row>
                <xdr:rowOff>8</xdr:rowOff>
              </xdr:to>
            </anchor>
          </commentPr>
        </mc:Choice>
        <mc:Fallback/>
      </mc:AlternateContent>
    </comment>
    <comment ref="J22" authorId="0">
      <text>
        <r>
          <rPr>
            <b val="true"/>
            <sz val="8"/>
            <color rgb="FF000000"/>
            <rFont val="Tahoma"/>
            <family val="2"/>
          </rPr>
          <t xml:space="preserve">Coefficient de sténoécie</t>
        </r>
      </text>
      <mc:AlternateContent>
        <mc:Choice Requires="v2">
          <commentPr autoFill="true" autoScale="false" colHidden="false" locked="false" rowHidden="false" textHAlign="justify" textVAlign="top">
            <anchor moveWithCells="false" sizeWithCells="false">
              <xdr:from>
                <xdr:col>10</xdr:col>
                <xdr:colOff>50</xdr:colOff>
                <xdr:row>19</xdr:row>
                <xdr:rowOff>14</xdr:rowOff>
              </xdr:from>
              <xdr:to>
                <xdr:col>12</xdr:col>
                <xdr:colOff>2</xdr:colOff>
                <xdr:row>21</xdr:row>
                <xdr:rowOff>12</xdr:rowOff>
              </xdr:to>
            </anchor>
          </commentPr>
        </mc:Choice>
        <mc:Fallback/>
      </mc:AlternateContent>
    </comment>
    <comment ref="K3" authorId="0">
      <text>
        <r>
          <rPr>
            <sz val="8"/>
            <color rgb="FF000000"/>
            <rFont val="Tahoma"/>
            <family val="2"/>
          </rPr>
          <t xml:space="preserve">N° de code de la station, code RNB de préférence.
</t>
        </r>
      </text>
      <mc:AlternateContent>
        <mc:Choice Requires="v2">
          <commentPr autoFill="true" autoScale="false" colHidden="false" locked="false" rowHidden="false" textHAlign="justify" textVAlign="top">
            <anchor moveWithCells="false" sizeWithCells="false">
              <xdr:from>
                <xdr:col>10</xdr:col>
                <xdr:colOff>65</xdr:colOff>
                <xdr:row>1</xdr:row>
                <xdr:rowOff>6</xdr:rowOff>
              </xdr:from>
              <xdr:to>
                <xdr:col>13</xdr:col>
                <xdr:colOff>0</xdr:colOff>
                <xdr:row>3</xdr:row>
                <xdr:rowOff>4</xdr:rowOff>
              </xdr:to>
            </anchor>
          </commentPr>
        </mc:Choice>
        <mc:Fallback/>
      </mc:AlternateContent>
    </comment>
    <comment ref="K6" authorId="0">
      <text>
        <r>
          <rPr>
            <sz val="8"/>
            <color rgb="FF000000"/>
            <rFont val="Tahoma"/>
            <family val="2"/>
          </rPr>
          <t xml:space="preserve">Classes de niveau trophique de l'eau (dénomination et couleur) en référence à AFNOR T90-395.</t>
        </r>
      </text>
      <mc:AlternateContent>
        <mc:Choice Requires="v2">
          <commentPr autoFill="true" autoScale="false" colHidden="false" locked="false" rowHidden="false" textHAlign="justify" textVAlign="top">
            <anchor moveWithCells="false" sizeWithCells="false">
              <xdr:from>
                <xdr:col>10</xdr:col>
                <xdr:colOff>59</xdr:colOff>
                <xdr:row>4</xdr:row>
                <xdr:rowOff>8</xdr:rowOff>
              </xdr:from>
              <xdr:to>
                <xdr:col>14</xdr:col>
                <xdr:colOff>51</xdr:colOff>
                <xdr:row>6</xdr:row>
                <xdr:rowOff>4</xdr:rowOff>
              </xdr:to>
            </anchor>
          </commentPr>
        </mc:Choice>
        <mc:Fallback/>
      </mc:AlternateContent>
    </comment>
    <comment ref="K22" authorId="0">
      <text>
        <r>
          <rPr>
            <b val="true"/>
            <sz val="8"/>
            <color rgb="FF808080"/>
            <rFont val="Tahoma"/>
            <family val="2"/>
          </rPr>
          <t xml:space="preserve">En gris</t>
        </r>
        <r>
          <rPr>
            <sz val="8"/>
            <color rgb="FF000000"/>
            <rFont val="Tahoma"/>
            <family val="2"/>
          </rPr>
          <t xml:space="preserve"> : taxon non pris en compte dans le calcul de l'IBMR,
</t>
        </r>
        <r>
          <rPr>
            <b val="true"/>
            <sz val="8"/>
            <color rgb="FF339966"/>
            <rFont val="Tahoma"/>
            <family val="2"/>
          </rPr>
          <t xml:space="preserve">En vert</t>
        </r>
        <r>
          <rPr>
            <sz val="8"/>
            <color rgb="FF000000"/>
            <rFont val="Tahoma"/>
            <family val="2"/>
          </rPr>
          <t xml:space="preserve"> : taxon non répertorié dans la liste des taxa aquatiques potentiellement rencontrés,
</t>
        </r>
        <r>
          <rPr>
            <b val="true"/>
            <sz val="8"/>
            <color rgb="FF000000"/>
            <rFont val="Tahoma"/>
            <family val="2"/>
          </rPr>
          <t xml:space="preserve">En noir</t>
        </r>
        <r>
          <rPr>
            <sz val="8"/>
            <color rgb="FF000000"/>
            <rFont val="Tahoma"/>
            <family val="2"/>
          </rPr>
          <t xml:space="preserve"> : taxon pris en compte dans le calcul.</t>
        </r>
      </text>
      <mc:AlternateContent>
        <mc:Choice Requires="v2">
          <commentPr autoFill="true" autoScale="false" colHidden="false" locked="false" rowHidden="false" textHAlign="justify" textVAlign="top">
            <anchor moveWithCells="false" sizeWithCells="false">
              <xdr:from>
                <xdr:col>14</xdr:col>
                <xdr:colOff>66</xdr:colOff>
                <xdr:row>20</xdr:row>
                <xdr:rowOff>6</xdr:rowOff>
              </xdr:from>
              <xdr:to>
                <xdr:col>22</xdr:col>
                <xdr:colOff>68</xdr:colOff>
                <xdr:row>26</xdr:row>
                <xdr:rowOff>11</xdr:rowOff>
              </xdr:to>
            </anchor>
          </commentPr>
        </mc:Choice>
        <mc:Fallback/>
      </mc:AlternateContent>
    </comment>
    <comment ref="M3" authorId="0">
      <text>
        <r>
          <rPr>
            <sz val="8"/>
            <color rgb="FF000000"/>
            <rFont val="Tahoma"/>
            <family val="2"/>
          </rPr>
          <t xml:space="preserve">Référence de l'étude</t>
        </r>
      </text>
      <mc:AlternateContent>
        <mc:Choice Requires="v2">
          <commentPr autoFill="true" autoScale="false" colHidden="false" locked="false" rowHidden="false" textHAlign="justify" textVAlign="top">
            <anchor moveWithCells="false" sizeWithCells="false">
              <xdr:from>
                <xdr:col>12</xdr:col>
                <xdr:colOff>63</xdr:colOff>
                <xdr:row>1</xdr:row>
                <xdr:rowOff>6</xdr:rowOff>
              </xdr:from>
              <xdr:to>
                <xdr:col>14</xdr:col>
                <xdr:colOff>51</xdr:colOff>
                <xdr:row>2</xdr:row>
                <xdr:rowOff>7</xdr:rowOff>
              </xdr:to>
            </anchor>
          </commentPr>
        </mc:Choice>
        <mc:Fallback/>
      </mc:AlternateContent>
    </comment>
    <comment ref="N5" authorId="0">
      <text>
        <r>
          <rPr>
            <sz val="8"/>
            <color rgb="FF000000"/>
            <rFont val="Tahoma"/>
            <family val="2"/>
          </rPr>
          <t xml:space="preserve">Nom du taxon (ayant le plus grand Csi*Ki) supprimé pour le calcul de la robustesse. </t>
        </r>
      </text>
      <mc:AlternateContent>
        <mc:Choice Requires="v2">
          <commentPr autoFill="true" autoScale="false" colHidden="false" locked="false" rowHidden="false" textHAlign="justify" textVAlign="top">
            <anchor moveWithCells="false" sizeWithCells="false">
              <xdr:from>
                <xdr:col>13</xdr:col>
                <xdr:colOff>49</xdr:colOff>
                <xdr:row>1</xdr:row>
                <xdr:rowOff>15</xdr:rowOff>
              </xdr:from>
              <xdr:to>
                <xdr:col>14</xdr:col>
                <xdr:colOff>51</xdr:colOff>
                <xdr:row>5</xdr:row>
                <xdr:rowOff>11</xdr:rowOff>
              </xdr:to>
            </anchor>
          </commentPr>
        </mc:Choice>
        <mc:Fallback/>
      </mc:AlternateContent>
    </comment>
    <comment ref="W1" authorId="0">
      <text>
        <r>
          <rPr>
            <sz val="8"/>
            <color rgb="FF000000"/>
            <rFont val="Tahoma"/>
            <family val="2"/>
          </rPr>
          <t xml:space="preserve">Crée une nouvelle feuille de saisie-calcul dans le même classeur. Ne pas oublier de </t>
        </r>
        <r>
          <rPr>
            <b val="true"/>
            <sz val="8"/>
            <color rgb="FF000000"/>
            <rFont val="Tahoma"/>
            <family val="2"/>
          </rPr>
          <t xml:space="preserve">la renommer dès sa création</t>
        </r>
        <r>
          <rPr>
            <sz val="8"/>
            <color rgb="FF000000"/>
            <rFont val="Tahoma"/>
            <family val="2"/>
          </rPr>
          <t xml:space="preserve"> !</t>
        </r>
      </text>
      <mc:AlternateContent>
        <mc:Choice Requires="v2">
          <commentPr autoFill="true" autoScale="false" colHidden="false" locked="false" rowHidden="false" textHAlign="justify" textVAlign="top">
            <anchor moveWithCells="false" sizeWithCells="false">
              <xdr:from>
                <xdr:col>22</xdr:col>
                <xdr:colOff>18</xdr:colOff>
                <xdr:row>0</xdr:row>
                <xdr:rowOff>2</xdr:rowOff>
              </xdr:from>
              <xdr:to>
                <xdr:col>23</xdr:col>
                <xdr:colOff>-55</xdr:colOff>
                <xdr:row>3</xdr:row>
                <xdr:rowOff>11</xdr:rowOff>
              </xdr:to>
            </anchor>
          </commentPr>
        </mc:Choice>
        <mc:Fallback/>
      </mc:AlternateContent>
    </comment>
    <comment ref="W2" authorId="0">
      <text>
        <r>
          <rPr>
            <b val="true"/>
            <sz val="8"/>
            <color rgb="FF000000"/>
            <rFont val="Tahoma"/>
            <family val="2"/>
          </rPr>
          <t xml:space="preserve">Récapitulatif :
</t>
        </r>
        <r>
          <rPr>
            <sz val="8"/>
            <color rgb="FF000000"/>
            <rFont val="Tahoma"/>
            <family val="2"/>
          </rPr>
          <t xml:space="preserve">Exporte un récapitulatif des résultats en 1 ligne (pour reprise en graphique ou édition)</t>
        </r>
      </text>
      <mc:AlternateContent>
        <mc:Choice Requires="v2">
          <commentPr autoFill="true" autoScale="false" colHidden="false" locked="false" rowHidden="false" textHAlign="justify" textVAlign="top">
            <anchor moveWithCells="false" sizeWithCells="false">
              <xdr:from>
                <xdr:col>22</xdr:col>
                <xdr:colOff>18</xdr:colOff>
                <xdr:row>0</xdr:row>
                <xdr:rowOff>7</xdr:rowOff>
              </xdr:from>
              <xdr:to>
                <xdr:col>23</xdr:col>
                <xdr:colOff>-55</xdr:colOff>
                <xdr:row>4</xdr:row>
                <xdr:rowOff>1</xdr:rowOff>
              </xdr:to>
            </anchor>
          </commentPr>
        </mc:Choice>
        <mc:Fallback/>
      </mc:AlternateContent>
    </comment>
    <comment ref="W4" authorId="0">
      <text>
        <r>
          <rPr>
            <sz val="8"/>
            <color rgb="FF000000"/>
            <rFont val="Tahoma"/>
            <family val="2"/>
          </rPr>
          <t xml:space="preserve"> </t>
        </r>
        <r>
          <rPr>
            <b val="true"/>
            <sz val="8"/>
            <color rgb="FF000000"/>
            <rFont val="Tahoma"/>
            <family val="2"/>
          </rPr>
          <t xml:space="preserve">ARCHIVAGE des données : 
</t>
        </r>
        <r>
          <rPr>
            <sz val="8"/>
            <color rgb="FF000000"/>
            <rFont val="Tahoma"/>
            <family val="2"/>
          </rPr>
          <t xml:space="preserve">Cette fonction crée un nouveau classeur d'archivage de la feuille active.
</t>
        </r>
        <r>
          <rPr>
            <sz val="8"/>
            <color rgb="FFFF0000"/>
            <rFont val="Tahoma"/>
            <family val="2"/>
          </rPr>
          <t xml:space="preserve">Attention !</t>
        </r>
        <r>
          <rPr>
            <i val="true"/>
            <sz val="8"/>
            <color rgb="FF000000"/>
            <rFont val="Tahoma"/>
            <family val="2"/>
          </rPr>
          <t xml:space="preserve"> Une feuille archivée ne peut plus être mise à jour ou modifiée en liaison automatique avec la liste floristique de référence !!!</t>
        </r>
      </text>
      <mc:AlternateContent>
        <mc:Choice Requires="v2">
          <commentPr autoFill="true" autoScale="false" colHidden="false" locked="false" rowHidden="false" textHAlign="justify" textVAlign="top">
            <anchor moveWithCells="false" sizeWithCells="false">
              <xdr:from>
                <xdr:col>22</xdr:col>
                <xdr:colOff>18</xdr:colOff>
                <xdr:row>1</xdr:row>
                <xdr:rowOff>6</xdr:rowOff>
              </xdr:from>
              <xdr:to>
                <xdr:col>23</xdr:col>
                <xdr:colOff>-55</xdr:colOff>
                <xdr:row>7</xdr:row>
                <xdr:rowOff>8</xdr:rowOff>
              </xdr:to>
            </anchor>
          </commentPr>
        </mc:Choice>
        <mc:Fallback/>
      </mc:AlternateContent>
    </comment>
    <comment ref="W6" authorId="0">
      <text>
        <r>
          <rPr>
            <b val="true"/>
            <sz val="8"/>
            <color rgb="FF000000"/>
            <rFont val="Tahoma"/>
            <family val="2"/>
          </rPr>
          <t xml:space="preserve">Affichage</t>
        </r>
        <r>
          <rPr>
            <sz val="8"/>
            <color rgb="FF000000"/>
            <rFont val="Tahoma"/>
            <family val="2"/>
          </rPr>
          <t xml:space="preserve"> de la notice et de la liste des taxa (de référence et potentiellement rencontrés en France).</t>
        </r>
      </text>
      <mc:AlternateContent>
        <mc:Choice Requires="v2">
          <commentPr autoFill="true" autoScale="false" colHidden="false" locked="false" rowHidden="false" textHAlign="justify" textVAlign="top">
            <anchor moveWithCells="false" sizeWithCells="false">
              <xdr:from>
                <xdr:col>22</xdr:col>
                <xdr:colOff>18</xdr:colOff>
                <xdr:row>4</xdr:row>
                <xdr:rowOff>8</xdr:rowOff>
              </xdr:from>
              <xdr:to>
                <xdr:col>23</xdr:col>
                <xdr:colOff>-55</xdr:colOff>
                <xdr:row>7</xdr:row>
                <xdr:rowOff>17</xdr:rowOff>
              </xdr:to>
            </anchor>
          </commentPr>
        </mc:Choice>
        <mc:Fallback/>
      </mc:AlternateContent>
    </comment>
    <comment ref="X5" authorId="0">
      <text>
        <r>
          <rPr>
            <b val="true"/>
            <sz val="8"/>
            <color rgb="FF000000"/>
            <rFont val="Tahoma"/>
            <family val="2"/>
          </rPr>
          <t xml:space="preserve">Classement des taxons :
</t>
        </r>
        <r>
          <rPr>
            <sz val="8"/>
            <color rgb="FF000000"/>
            <rFont val="Tahoma"/>
            <family val="2"/>
          </rPr>
          <t xml:space="preserve">- par ordre alphabétique (noms),
-  par groupes floristiques,
- suivant l'ordre croissant des côtes spécifiques (CSi) ou des coefficients de sténoécie (Ei).</t>
        </r>
      </text>
      <mc:AlternateContent>
        <mc:Choice Requires="v2">
          <commentPr autoFill="true" autoScale="false" colHidden="false" locked="false" rowHidden="false" textHAlign="justify" textVAlign="top">
            <anchor moveWithCells="false" sizeWithCells="false">
              <xdr:from>
                <xdr:col>23</xdr:col>
                <xdr:colOff>20</xdr:colOff>
                <xdr:row>1</xdr:row>
                <xdr:rowOff>11</xdr:rowOff>
              </xdr:from>
              <xdr:to>
                <xdr:col>27</xdr:col>
                <xdr:colOff>141</xdr:colOff>
                <xdr:row>7</xdr:row>
                <xdr:rowOff>1</xdr:rowOff>
              </xdr:to>
            </anchor>
          </commentPr>
        </mc:Choice>
        <mc:Fallback/>
      </mc:AlternateContent>
    </comment>
    <comment ref="AA22" authorId="0">
      <text>
        <r>
          <rPr>
            <sz val="8"/>
            <color rgb="FF000000"/>
            <rFont val="Tahoma"/>
            <family val="2"/>
          </rPr>
          <t xml:space="preserve">Sélectionner Cf. si le taxon observé fait seulement référence à celui choisi.
</t>
        </r>
      </text>
      <mc:AlternateContent>
        <mc:Choice Requires="v2">
          <commentPr autoFill="true" autoScale="false" colHidden="false" locked="false" rowHidden="false" textHAlign="justify" textVAlign="top">
            <anchor moveWithCells="false" sizeWithCells="false">
              <xdr:from>
                <xdr:col>23</xdr:col>
                <xdr:colOff>48</xdr:colOff>
                <xdr:row>20</xdr:row>
                <xdr:rowOff>6</xdr:rowOff>
              </xdr:from>
              <xdr:to>
                <xdr:col>24</xdr:col>
                <xdr:colOff>-16</xdr:colOff>
                <xdr:row>23</xdr:row>
                <xdr:rowOff>9</xdr:rowOff>
              </xdr:to>
            </anchor>
          </commentPr>
        </mc:Choice>
        <mc:Fallback/>
      </mc:AlternateContent>
    </comment>
    <comment ref="AB22" authorId="0">
      <text>
        <r>
          <rPr>
            <sz val="8"/>
            <color rgb="FF000000"/>
            <rFont val="Tahoma"/>
            <family val="2"/>
          </rPr>
          <t xml:space="preserve">Après avoir saisi NEW.COD dans la 1ère colonne "CODES", saisir ici les noms des taxa non retrouvés dans la "liste référence".</t>
        </r>
      </text>
      <mc:AlternateContent>
        <mc:Choice Requires="v2">
          <commentPr autoFill="true" autoScale="false" colHidden="false" locked="false" rowHidden="false" textHAlign="justify" textVAlign="top">
            <anchor moveWithCells="false" sizeWithCells="false">
              <xdr:from>
                <xdr:col>23</xdr:col>
                <xdr:colOff>167</xdr:colOff>
                <xdr:row>14</xdr:row>
                <xdr:rowOff>1</xdr:rowOff>
              </xdr:from>
              <xdr:to>
                <xdr:col>27</xdr:col>
                <xdr:colOff>141</xdr:colOff>
                <xdr:row>17</xdr:row>
                <xdr:rowOff>11</xdr:rowOff>
              </xdr:to>
            </anchor>
          </commentPr>
        </mc:Choice>
        <mc:Fallback/>
      </mc:AlternateContent>
    </comment>
    <comment ref="AC22" authorId="0">
      <text>
        <r>
          <rPr>
            <sz val="8"/>
            <color rgb="FF000000"/>
            <rFont val="Tahoma"/>
            <family val="2"/>
          </rPr>
          <t xml:space="preserve">Après avoir saisi NEW.COD dans la 1ère colonne "CODES", saisir ici les noms des taxa non retrouvés dans la "liste référence".</t>
        </r>
      </text>
      <mc:AlternateContent>
        <mc:Choice Requires="v2">
          <commentPr autoFill="true" autoScale="false" colHidden="false" locked="false" rowHidden="false" textHAlign="justify" textVAlign="top">
            <anchor moveWithCells="false" sizeWithCells="false">
              <xdr:from>
                <xdr:col>32</xdr:col>
                <xdr:colOff>2</xdr:colOff>
                <xdr:row>20</xdr:row>
                <xdr:rowOff>7</xdr:rowOff>
              </xdr:from>
              <xdr:to>
                <xdr:col>33</xdr:col>
                <xdr:colOff>49</xdr:colOff>
                <xdr:row>23</xdr:row>
                <xdr:rowOff>17</xdr:rowOff>
              </xdr:to>
            </anchor>
          </commentPr>
        </mc:Choice>
        <mc:Fallback/>
      </mc:AlternateContent>
    </comment>
  </commentList>
</comments>
</file>

<file path=xl/sharedStrings.xml><?xml version="1.0" encoding="utf-8"?>
<sst xmlns="http://schemas.openxmlformats.org/spreadsheetml/2006/main" count="104" uniqueCount="101">
  <si>
    <t xml:space="preserve">Relevés floristiques aquatiques - IBMR</t>
  </si>
  <si>
    <t xml:space="preserve">Formulaire modèle GIS Macrophytes v_2.6 - février 2012</t>
  </si>
  <si>
    <t xml:space="preserve">SAGE</t>
  </si>
  <si>
    <t xml:space="preserve">ISEBE RENAHY</t>
  </si>
  <si>
    <t xml:space="preserve">conforme AFNOR T90-395 oct. 2003</t>
  </si>
  <si>
    <t xml:space="preserve">Veyle</t>
  </si>
  <si>
    <t xml:space="preserve">Veyle à Pont de Veyle</t>
  </si>
  <si>
    <t xml:space="preserve">06049000</t>
  </si>
  <si>
    <t xml:space="preserve">AERMC</t>
  </si>
  <si>
    <t xml:space="preserve">Résultats</t>
  </si>
  <si>
    <t xml:space="preserve">Robustesse:</t>
  </si>
  <si>
    <t xml:space="preserve">Unité de relevé</t>
  </si>
  <si>
    <t xml:space="preserve">UR1</t>
  </si>
  <si>
    <t xml:space="preserve">UR2</t>
  </si>
  <si>
    <t xml:space="preserve">station</t>
  </si>
  <si>
    <t xml:space="preserve">IBMR:</t>
  </si>
  <si>
    <t xml:space="preserve">Faciès dominant</t>
  </si>
  <si>
    <t xml:space="preserve">pl. courant</t>
  </si>
  <si>
    <t xml:space="preserve">pl. lent</t>
  </si>
  <si>
    <t xml:space="preserve">niv. trophique:</t>
  </si>
  <si>
    <t xml:space="preserve">très élevé</t>
  </si>
  <si>
    <t xml:space="preserve">(très élevé)</t>
  </si>
  <si>
    <t xml:space="preserve">% faciès dominant/UR</t>
  </si>
  <si>
    <t xml:space="preserve">cote sp.</t>
  </si>
  <si>
    <t xml:space="preserve">coef stén.</t>
  </si>
  <si>
    <t xml:space="preserve">VEGETALISATION</t>
  </si>
  <si>
    <t xml:space="preserve">tot. pondéré</t>
  </si>
  <si>
    <t xml:space="preserve">moyenne</t>
  </si>
  <si>
    <t xml:space="preserve">% surf. tot. veg./UR</t>
  </si>
  <si>
    <t xml:space="preserve">écart-type</t>
  </si>
  <si>
    <t xml:space="preserve">% périphyton</t>
  </si>
  <si>
    <t xml:space="preserve">nb taxons</t>
  </si>
  <si>
    <t xml:space="preserve">mini</t>
  </si>
  <si>
    <t xml:space="preserve">% hétérotrophes</t>
  </si>
  <si>
    <t xml:space="preserve">hét.</t>
  </si>
  <si>
    <t xml:space="preserve">maxi</t>
  </si>
  <si>
    <t xml:space="preserve">% algues</t>
  </si>
  <si>
    <t xml:space="preserve">alg.</t>
  </si>
  <si>
    <t xml:space="preserve">% bryophytes</t>
  </si>
  <si>
    <t xml:space="preserve">bryo.</t>
  </si>
  <si>
    <t xml:space="preserve">total </t>
  </si>
  <si>
    <t xml:space="preserve">% ptérido. &amp; lichens</t>
  </si>
  <si>
    <t xml:space="preserve">pté./lich.</t>
  </si>
  <si>
    <t xml:space="preserve">contribut.</t>
  </si>
  <si>
    <t xml:space="preserve">% phanérogames</t>
  </si>
  <si>
    <t xml:space="preserve">phan.</t>
  </si>
  <si>
    <t xml:space="preserve">sténo. 1</t>
  </si>
  <si>
    <t xml:space="preserve">% vég. flottante</t>
  </si>
  <si>
    <t xml:space="preserve">sténo. 2</t>
  </si>
  <si>
    <t xml:space="preserve">% vég. immergée</t>
  </si>
  <si>
    <t xml:space="preserve">sténo. 3</t>
  </si>
  <si>
    <t xml:space="preserve">% hélophytes</t>
  </si>
  <si>
    <t xml:space="preserve">Cal. Écart</t>
  </si>
  <si>
    <t xml:space="preserve">ATTENTION : le total par grp. floristiques doit être égal</t>
  </si>
  <si>
    <t xml:space="preserve">au total par grp. Fonctionnels !</t>
  </si>
  <si>
    <r>
      <rPr>
        <b val="true"/>
        <sz val="10"/>
        <rFont val="Arial"/>
        <family val="2"/>
      </rPr>
      <t xml:space="preserve">LISTE     </t>
    </r>
    <r>
      <rPr>
        <i val="true"/>
        <sz val="10"/>
        <rFont val="Arial"/>
        <family val="2"/>
      </rPr>
      <t xml:space="preserve">rec / faciès</t>
    </r>
  </si>
  <si>
    <t xml:space="preserve">Détail du calcul IBMR (non imprimable, non exporté)</t>
  </si>
  <si>
    <t xml:space="preserve">ATTENTION : écart entre rec. par grp (68,023 %) et</t>
  </si>
  <si>
    <t xml:space="preserve">rec. pondéré</t>
  </si>
  <si>
    <t xml:space="preserve">voir aussi colonne BB</t>
  </si>
  <si>
    <t xml:space="preserve"> rec. par taxa (88,0065 %) supérieur à 20 % !</t>
  </si>
  <si>
    <t xml:space="preserve">CODES</t>
  </si>
  <si>
    <t xml:space="preserve">%</t>
  </si>
  <si>
    <t xml:space="preserve">% sta.</t>
  </si>
  <si>
    <t xml:space="preserve">grp</t>
  </si>
  <si>
    <t xml:space="preserve">Csi</t>
  </si>
  <si>
    <t xml:space="preserve">Ei</t>
  </si>
  <si>
    <t xml:space="preserve">    noms</t>
  </si>
  <si>
    <t xml:space="preserve">cd_sandre</t>
  </si>
  <si>
    <t xml:space="preserve">r. station</t>
  </si>
  <si>
    <t xml:space="preserve">cl. rec.</t>
  </si>
  <si>
    <t xml:space="preserve">KixCsi</t>
  </si>
  <si>
    <t xml:space="preserve">Ei x Ki x Csi</t>
  </si>
  <si>
    <t xml:space="preserve">Ei x Ki</t>
  </si>
  <si>
    <t xml:space="preserve">vérif rec</t>
  </si>
  <si>
    <t xml:space="preserve">code taxa</t>
  </si>
  <si>
    <t xml:space="preserve">index ligne</t>
  </si>
  <si>
    <t xml:space="preserve">Confer</t>
  </si>
  <si>
    <t xml:space="preserve">Nouveaux taxa hors liste de référence</t>
  </si>
  <si>
    <t xml:space="preserve">cd_sandre du nouveau taxon</t>
  </si>
  <si>
    <t xml:space="preserve">CLASPX</t>
  </si>
  <si>
    <t xml:space="preserve">SPISPX</t>
  </si>
  <si>
    <t xml:space="preserve">VAUSPX</t>
  </si>
  <si>
    <t xml:space="preserve">CERDEM</t>
  </si>
  <si>
    <t xml:space="preserve">MYRSPI</t>
  </si>
  <si>
    <t xml:space="preserve">NUPLUT</t>
  </si>
  <si>
    <t xml:space="preserve">POTNAT</t>
  </si>
  <si>
    <t xml:space="preserve">POTPEC</t>
  </si>
  <si>
    <t xml:space="preserve">SPAEML</t>
  </si>
  <si>
    <t xml:space="preserve">SPRPOL</t>
  </si>
  <si>
    <t xml:space="preserve">LYCEUR</t>
  </si>
  <si>
    <t xml:space="preserve">MENAQU</t>
  </si>
  <si>
    <t xml:space="preserve">Ligne de préparation à l'exportation du récapitulatif des résultats. Non imprimable</t>
  </si>
  <si>
    <t xml:space="preserve">ROBUSTESSE</t>
  </si>
  <si>
    <t xml:space="preserve">rech. Max KixCsi</t>
  </si>
  <si>
    <t xml:space="preserve">rech. max EixKixCSi</t>
  </si>
  <si>
    <t xml:space="preserve">rech. max EixKi</t>
  </si>
  <si>
    <t xml:space="preserve">new IBMR</t>
  </si>
  <si>
    <t xml:space="preserve">code taxon à supp.</t>
  </si>
  <si>
    <t xml:space="preserve">index ligne corresp.</t>
  </si>
  <si>
    <t xml:space="preserve">taxon supp.</t>
  </si>
</sst>
</file>

<file path=xl/styles.xml><?xml version="1.0" encoding="utf-8"?>
<styleSheet xmlns="http://schemas.openxmlformats.org/spreadsheetml/2006/main">
  <numFmts count="9">
    <numFmt numFmtId="164" formatCode="General"/>
    <numFmt numFmtId="165" formatCode="@"/>
    <numFmt numFmtId="166" formatCode="[$-40C]dd\-mmm\-yy"/>
    <numFmt numFmtId="167" formatCode="0.00"/>
    <numFmt numFmtId="168" formatCode="General"/>
    <numFmt numFmtId="169" formatCode="_-* #,##0.00\ _F_-;\-* #,##0.00\ _F_-;_-* \-??\ _F_-;_-@_-"/>
    <numFmt numFmtId="170" formatCode="0.0"/>
    <numFmt numFmtId="171" formatCode="_-* #,##0\ _F_-;\-* #,##0\ _F_-;_-* &quot;- &quot;_F_-;_-@_-"/>
    <numFmt numFmtId="172" formatCode="0"/>
  </numFmts>
  <fonts count="54">
    <font>
      <sz val="10"/>
      <name val="Arial"/>
      <family val="0"/>
    </font>
    <font>
      <sz val="10"/>
      <name val="Arial"/>
      <family val="0"/>
    </font>
    <font>
      <sz val="10"/>
      <name val="Arial"/>
      <family val="0"/>
    </font>
    <font>
      <sz val="10"/>
      <name val="Arial"/>
      <family val="0"/>
    </font>
    <font>
      <sz val="11"/>
      <color rgb="FF000000"/>
      <name val="Calibri"/>
      <family val="2"/>
    </font>
    <font>
      <sz val="11"/>
      <color rgb="FFFFFFFF"/>
      <name val="Calibri"/>
      <family val="2"/>
    </font>
    <font>
      <sz val="11"/>
      <color rgb="FFFF0000"/>
      <name val="Calibri"/>
      <family val="2"/>
    </font>
    <font>
      <b val="true"/>
      <sz val="11"/>
      <color rgb="FFFF9900"/>
      <name val="Calibri"/>
      <family val="2"/>
    </font>
    <font>
      <sz val="11"/>
      <color rgb="FFFF9900"/>
      <name val="Calibri"/>
      <family val="2"/>
    </font>
    <font>
      <sz val="11"/>
      <color rgb="FF333399"/>
      <name val="Calibri"/>
      <family val="2"/>
    </font>
    <font>
      <sz val="11"/>
      <color rgb="FF800080"/>
      <name val="Calibri"/>
      <family val="2"/>
    </font>
    <font>
      <sz val="11"/>
      <color rgb="FF993300"/>
      <name val="Calibri"/>
      <family val="2"/>
    </font>
    <font>
      <sz val="11"/>
      <color rgb="FF008000"/>
      <name val="Calibri"/>
      <family val="2"/>
    </font>
    <font>
      <b val="true"/>
      <sz val="11"/>
      <color rgb="FF333333"/>
      <name val="Calibri"/>
      <family val="2"/>
    </font>
    <font>
      <i val="true"/>
      <sz val="11"/>
      <color rgb="FF808080"/>
      <name val="Calibri"/>
      <family val="2"/>
    </font>
    <font>
      <b val="true"/>
      <sz val="18"/>
      <color rgb="FF003366"/>
      <name val="Cambria"/>
      <family val="2"/>
    </font>
    <font>
      <b val="true"/>
      <sz val="15"/>
      <color rgb="FF003366"/>
      <name val="Calibri"/>
      <family val="2"/>
    </font>
    <font>
      <b val="true"/>
      <sz val="13"/>
      <color rgb="FF003366"/>
      <name val="Calibri"/>
      <family val="2"/>
    </font>
    <font>
      <b val="true"/>
      <sz val="11"/>
      <color rgb="FF003366"/>
      <name val="Calibri"/>
      <family val="2"/>
    </font>
    <font>
      <b val="true"/>
      <sz val="11"/>
      <color rgb="FF000000"/>
      <name val="Calibri"/>
      <family val="2"/>
    </font>
    <font>
      <b val="true"/>
      <sz val="11"/>
      <color rgb="FFFFFFFF"/>
      <name val="Calibri"/>
      <family val="2"/>
    </font>
    <font>
      <b val="true"/>
      <i val="true"/>
      <sz val="11"/>
      <color rgb="FFFFFFFF"/>
      <name val="Arial"/>
      <family val="2"/>
    </font>
    <font>
      <b val="true"/>
      <sz val="11"/>
      <color rgb="FFFFFFFF"/>
      <name val="Arial"/>
      <family val="2"/>
    </font>
    <font>
      <i val="true"/>
      <sz val="8"/>
      <color rgb="FFFFFFFF"/>
      <name val="Arial"/>
      <family val="2"/>
    </font>
    <font>
      <sz val="8"/>
      <color rgb="FF0000FF"/>
      <name val="Arial"/>
      <family val="2"/>
    </font>
    <font>
      <b val="true"/>
      <sz val="10"/>
      <name val="Arial"/>
      <family val="2"/>
    </font>
    <font>
      <i val="true"/>
      <sz val="8"/>
      <name val="Arial"/>
      <family val="2"/>
    </font>
    <font>
      <b val="true"/>
      <sz val="8"/>
      <name val="Arial"/>
      <family val="2"/>
    </font>
    <font>
      <b val="true"/>
      <i val="true"/>
      <sz val="10"/>
      <color rgb="FF808080"/>
      <name val="Arial"/>
      <family val="2"/>
    </font>
    <font>
      <b val="true"/>
      <i val="true"/>
      <sz val="10"/>
      <name val="Arial"/>
      <family val="2"/>
    </font>
    <font>
      <sz val="10"/>
      <name val="Arial"/>
      <family val="2"/>
    </font>
    <font>
      <b val="true"/>
      <i val="true"/>
      <sz val="11"/>
      <name val="Arial"/>
      <family val="2"/>
    </font>
    <font>
      <b val="true"/>
      <sz val="11"/>
      <name val="Arial"/>
      <family val="2"/>
    </font>
    <font>
      <i val="true"/>
      <sz val="10"/>
      <name val="Arial"/>
      <family val="2"/>
    </font>
    <font>
      <b val="true"/>
      <sz val="10"/>
      <color rgb="FFFFFFFF"/>
      <name val="Arial"/>
      <family val="2"/>
    </font>
    <font>
      <b val="true"/>
      <i val="true"/>
      <sz val="10"/>
      <color rgb="FFFFFFFF"/>
      <name val="Arial"/>
      <family val="2"/>
    </font>
    <font>
      <sz val="10"/>
      <color rgb="FF000000"/>
      <name val="Arial"/>
      <family val="2"/>
    </font>
    <font>
      <b val="true"/>
      <i val="true"/>
      <sz val="12"/>
      <color rgb="FFFFFFFF"/>
      <name val="Arial"/>
      <family val="2"/>
    </font>
    <font>
      <b val="true"/>
      <sz val="9"/>
      <name val="Arial"/>
      <family val="2"/>
    </font>
    <font>
      <b val="true"/>
      <i val="true"/>
      <sz val="9"/>
      <name val="Arial"/>
      <family val="2"/>
    </font>
    <font>
      <i val="true"/>
      <sz val="9"/>
      <name val="Arial"/>
      <family val="2"/>
    </font>
    <font>
      <sz val="9"/>
      <name val="Arial"/>
      <family val="2"/>
    </font>
    <font>
      <i val="true"/>
      <sz val="10"/>
      <color rgb="FF000000"/>
      <name val="Arial"/>
      <family val="2"/>
    </font>
    <font>
      <sz val="8"/>
      <name val="Arial"/>
      <family val="2"/>
    </font>
    <font>
      <b val="true"/>
      <i val="true"/>
      <sz val="10"/>
      <color rgb="FFFF0000"/>
      <name val="Arial"/>
      <family val="2"/>
    </font>
    <font>
      <sz val="10"/>
      <color rgb="FFFF0000"/>
      <name val="Arial"/>
      <family val="2"/>
    </font>
    <font>
      <b val="true"/>
      <sz val="10"/>
      <color rgb="FFFF0000"/>
      <name val="Arial"/>
      <family val="2"/>
    </font>
    <font>
      <sz val="7"/>
      <name val="Arial"/>
      <family val="2"/>
    </font>
    <font>
      <sz val="8"/>
      <color rgb="FF000000"/>
      <name val="Tahoma"/>
      <family val="2"/>
    </font>
    <font>
      <b val="true"/>
      <sz val="8"/>
      <color rgb="FF000000"/>
      <name val="Tahoma"/>
      <family val="2"/>
    </font>
    <font>
      <i val="true"/>
      <sz val="8"/>
      <color rgb="FF000000"/>
      <name val="Tahoma"/>
      <family val="2"/>
    </font>
    <font>
      <b val="true"/>
      <sz val="8"/>
      <color rgb="FF808080"/>
      <name val="Tahoma"/>
      <family val="2"/>
    </font>
    <font>
      <b val="true"/>
      <sz val="8"/>
      <color rgb="FF339966"/>
      <name val="Tahoma"/>
      <family val="2"/>
    </font>
    <font>
      <sz val="8"/>
      <color rgb="FFFF0000"/>
      <name val="Tahoma"/>
      <family val="2"/>
    </font>
  </fonts>
  <fills count="26">
    <fill>
      <patternFill patternType="none"/>
    </fill>
    <fill>
      <patternFill patternType="gray125"/>
    </fill>
    <fill>
      <patternFill patternType="solid">
        <fgColor rgb="FFCCCCFF"/>
        <bgColor rgb="FFC0C0C0"/>
      </patternFill>
    </fill>
    <fill>
      <patternFill patternType="solid">
        <fgColor rgb="FFFF99CC"/>
        <bgColor rgb="FFFF8080"/>
      </patternFill>
    </fill>
    <fill>
      <patternFill patternType="solid">
        <fgColor rgb="FFCCFFCC"/>
        <bgColor rgb="FFCCFFFF"/>
      </patternFill>
    </fill>
    <fill>
      <patternFill patternType="solid">
        <fgColor rgb="FFCC99FF"/>
        <bgColor rgb="FF9999FF"/>
      </patternFill>
    </fill>
    <fill>
      <patternFill patternType="solid">
        <fgColor rgb="FFCCFFFF"/>
        <bgColor rgb="FFCCFFFF"/>
      </patternFill>
    </fill>
    <fill>
      <patternFill patternType="solid">
        <fgColor rgb="FFFFCC99"/>
        <bgColor rgb="FFC0C0C0"/>
      </patternFill>
    </fill>
    <fill>
      <patternFill patternType="solid">
        <fgColor rgb="FF99CCFF"/>
        <bgColor rgb="FFCCCCFF"/>
      </patternFill>
    </fill>
    <fill>
      <patternFill patternType="solid">
        <fgColor rgb="FFFF8080"/>
        <bgColor rgb="FFFF99CC"/>
      </patternFill>
    </fill>
    <fill>
      <patternFill patternType="solid">
        <fgColor rgb="FF00FF00"/>
        <bgColor rgb="FF33CCCC"/>
      </patternFill>
    </fill>
    <fill>
      <patternFill patternType="solid">
        <fgColor rgb="FFFFCC00"/>
        <bgColor rgb="FFFFFF00"/>
      </patternFill>
    </fill>
    <fill>
      <patternFill patternType="solid">
        <fgColor rgb="FF0066CC"/>
        <bgColor rgb="FF008080"/>
      </patternFill>
    </fill>
    <fill>
      <patternFill patternType="solid">
        <fgColor rgb="FF800080"/>
        <bgColor rgb="FF800080"/>
      </patternFill>
    </fill>
    <fill>
      <patternFill patternType="solid">
        <fgColor rgb="FF33CCCC"/>
        <bgColor rgb="FF00CCFF"/>
      </patternFill>
    </fill>
    <fill>
      <patternFill patternType="solid">
        <fgColor rgb="FFFF9900"/>
        <bgColor rgb="FFFFCC00"/>
      </patternFill>
    </fill>
    <fill>
      <patternFill patternType="solid">
        <fgColor rgb="FF333399"/>
        <bgColor rgb="FF003366"/>
      </patternFill>
    </fill>
    <fill>
      <patternFill patternType="solid">
        <fgColor rgb="FFFF0000"/>
        <bgColor rgb="FF993300"/>
      </patternFill>
    </fill>
    <fill>
      <patternFill patternType="solid">
        <fgColor rgb="FF339966"/>
        <bgColor rgb="FF008080"/>
      </patternFill>
    </fill>
    <fill>
      <patternFill patternType="solid">
        <fgColor rgb="FFFF6600"/>
        <bgColor rgb="FFFF9900"/>
      </patternFill>
    </fill>
    <fill>
      <patternFill patternType="solid">
        <fgColor rgb="FFC0C0C0"/>
        <bgColor rgb="FFCCCCFF"/>
      </patternFill>
    </fill>
    <fill>
      <patternFill patternType="solid">
        <fgColor rgb="FFFFFFCC"/>
        <bgColor rgb="FFFFFFFF"/>
      </patternFill>
    </fill>
    <fill>
      <patternFill patternType="solid">
        <fgColor rgb="FFFFFF99"/>
        <bgColor rgb="FFFFFFCC"/>
      </patternFill>
    </fill>
    <fill>
      <patternFill patternType="solid">
        <fgColor rgb="FF969696"/>
        <bgColor rgb="FF808080"/>
      </patternFill>
    </fill>
    <fill>
      <patternFill patternType="solid">
        <fgColor rgb="FF0000FF"/>
        <bgColor rgb="FF0000FF"/>
      </patternFill>
    </fill>
    <fill>
      <patternFill patternType="solid">
        <fgColor rgb="FFFFFFFF"/>
        <bgColor rgb="FFFFFFCC"/>
      </patternFill>
    </fill>
  </fills>
  <borders count="75">
    <border diagonalUp="false" diagonalDown="false">
      <left/>
      <right/>
      <top/>
      <bottom/>
      <diagonal/>
    </border>
    <border diagonalUp="false" diagonalDown="false">
      <left style="thin">
        <color rgb="FF808080"/>
      </left>
      <right style="thin">
        <color rgb="FF808080"/>
      </right>
      <top style="thin">
        <color rgb="FF808080"/>
      </top>
      <bottom style="thin">
        <color rgb="FF808080"/>
      </bottom>
      <diagonal/>
    </border>
    <border diagonalUp="false" diagonalDown="false">
      <left/>
      <right/>
      <top/>
      <bottom style="double">
        <color rgb="FFFF9900"/>
      </bottom>
      <diagonal/>
    </border>
    <border diagonalUp="false" diagonalDown="false">
      <left style="thin">
        <color rgb="FFC0C0C0"/>
      </left>
      <right style="thin">
        <color rgb="FFC0C0C0"/>
      </right>
      <top style="thin">
        <color rgb="FFC0C0C0"/>
      </top>
      <bottom style="thin">
        <color rgb="FFC0C0C0"/>
      </bottom>
      <diagonal/>
    </border>
    <border diagonalUp="false" diagonalDown="false">
      <left style="thin">
        <color rgb="FF333333"/>
      </left>
      <right style="thin">
        <color rgb="FF333333"/>
      </right>
      <top style="thin">
        <color rgb="FF333333"/>
      </top>
      <bottom style="thin">
        <color rgb="FF333333"/>
      </bottom>
      <diagonal/>
    </border>
    <border diagonalUp="false" diagonalDown="false">
      <left/>
      <right/>
      <top/>
      <bottom style="thick">
        <color rgb="FF333399"/>
      </bottom>
      <diagonal/>
    </border>
    <border diagonalUp="false" diagonalDown="false">
      <left/>
      <right/>
      <top/>
      <bottom style="thick">
        <color rgb="FFC0C0C0"/>
      </bottom>
      <diagonal/>
    </border>
    <border diagonalUp="false" diagonalDown="false">
      <left/>
      <right/>
      <top/>
      <bottom style="medium">
        <color rgb="FF0066CC"/>
      </bottom>
      <diagonal/>
    </border>
    <border diagonalUp="false" diagonalDown="false">
      <left/>
      <right/>
      <top style="thin">
        <color rgb="FF333399"/>
      </top>
      <bottom style="double">
        <color rgb="FF333399"/>
      </bottom>
      <diagonal/>
    </border>
    <border diagonalUp="false" diagonalDown="false">
      <left style="double">
        <color rgb="FF333333"/>
      </left>
      <right style="double">
        <color rgb="FF333333"/>
      </right>
      <top style="double">
        <color rgb="FF333333"/>
      </top>
      <bottom style="double">
        <color rgb="FF333333"/>
      </bottom>
      <diagonal/>
    </border>
    <border diagonalUp="false" diagonalDown="false">
      <left style="thin"/>
      <right/>
      <top style="thin"/>
      <bottom style="thin"/>
      <diagonal/>
    </border>
    <border diagonalUp="false" diagonalDown="false">
      <left/>
      <right/>
      <top style="thin"/>
      <bottom style="thin"/>
      <diagonal/>
    </border>
    <border diagonalUp="false" diagonalDown="false">
      <left style="medium"/>
      <right/>
      <top/>
      <bottom/>
      <diagonal/>
    </border>
    <border diagonalUp="false" diagonalDown="false">
      <left style="thick">
        <color rgb="FFC0C0C0"/>
      </left>
      <right/>
      <top style="thick">
        <color rgb="FFC0C0C0"/>
      </top>
      <bottom/>
      <diagonal/>
    </border>
    <border diagonalUp="false" diagonalDown="false">
      <left/>
      <right style="thick">
        <color rgb="FFC0C0C0"/>
      </right>
      <top style="thick">
        <color rgb="FFC0C0C0"/>
      </top>
      <bottom/>
      <diagonal/>
    </border>
    <border diagonalUp="false" diagonalDown="false">
      <left/>
      <right style="thin"/>
      <top style="thin"/>
      <bottom style="thin"/>
      <diagonal/>
    </border>
    <border diagonalUp="false" diagonalDown="false">
      <left style="thick">
        <color rgb="FFC0C0C0"/>
      </left>
      <right/>
      <top/>
      <bottom/>
      <diagonal/>
    </border>
    <border diagonalUp="false" diagonalDown="false">
      <left/>
      <right style="thick">
        <color rgb="FFC0C0C0"/>
      </right>
      <top/>
      <bottom/>
      <diagonal/>
    </border>
    <border diagonalUp="false" diagonalDown="false">
      <left/>
      <right/>
      <top style="thin"/>
      <bottom/>
      <diagonal/>
    </border>
    <border diagonalUp="false" diagonalDown="false">
      <left style="thin"/>
      <right/>
      <top style="thin"/>
      <bottom style="medium">
        <color rgb="FFFF0000"/>
      </bottom>
      <diagonal/>
    </border>
    <border diagonalUp="false" diagonalDown="false">
      <left/>
      <right/>
      <top style="thin"/>
      <bottom style="medium">
        <color rgb="FFFF0000"/>
      </bottom>
      <diagonal/>
    </border>
    <border diagonalUp="false" diagonalDown="false">
      <left style="thin"/>
      <right style="thin"/>
      <top style="thin"/>
      <bottom style="thin"/>
      <diagonal/>
    </border>
    <border diagonalUp="false" diagonalDown="false">
      <left/>
      <right/>
      <top/>
      <bottom style="thin"/>
      <diagonal/>
    </border>
    <border diagonalUp="false" diagonalDown="false">
      <left style="medium">
        <color rgb="FFFF0000"/>
      </left>
      <right/>
      <top style="medium">
        <color rgb="FFFF0000"/>
      </top>
      <bottom/>
      <diagonal/>
    </border>
    <border diagonalUp="false" diagonalDown="false">
      <left/>
      <right/>
      <top style="medium">
        <color rgb="FFFF0000"/>
      </top>
      <bottom style="thin">
        <color rgb="FFFF0000"/>
      </bottom>
      <diagonal/>
    </border>
    <border diagonalUp="false" diagonalDown="false">
      <left/>
      <right/>
      <top style="medium">
        <color rgb="FFFF0000"/>
      </top>
      <bottom/>
      <diagonal/>
    </border>
    <border diagonalUp="false" diagonalDown="false">
      <left style="medium">
        <color rgb="FFFF0000"/>
      </left>
      <right/>
      <top/>
      <bottom/>
      <diagonal/>
    </border>
    <border diagonalUp="false" diagonalDown="false">
      <left style="thin"/>
      <right style="medium"/>
      <top style="thin"/>
      <bottom style="thin"/>
      <diagonal/>
    </border>
    <border diagonalUp="false" diagonalDown="false">
      <left style="medium"/>
      <right style="thin"/>
      <top/>
      <bottom style="thin"/>
      <diagonal/>
    </border>
    <border diagonalUp="false" diagonalDown="false">
      <left style="thin"/>
      <right style="thin"/>
      <top/>
      <bottom style="thin"/>
      <diagonal/>
    </border>
    <border diagonalUp="false" diagonalDown="false">
      <left style="medium">
        <color rgb="FFFF0000"/>
      </left>
      <right/>
      <top style="thin">
        <color rgb="FFFF0000"/>
      </top>
      <bottom/>
      <diagonal/>
    </border>
    <border diagonalUp="false" diagonalDown="false">
      <left/>
      <right/>
      <top style="thin">
        <color rgb="FFFF0000"/>
      </top>
      <bottom/>
      <diagonal/>
    </border>
    <border diagonalUp="false" diagonalDown="false">
      <left style="medium">
        <color rgb="FFFF0000"/>
      </left>
      <right/>
      <top style="medium">
        <color rgb="FFFF0000"/>
      </top>
      <bottom style="thin">
        <color rgb="FFFF0000"/>
      </bottom>
      <diagonal/>
    </border>
    <border diagonalUp="false" diagonalDown="false">
      <left/>
      <right style="double">
        <color rgb="FFFF0000"/>
      </right>
      <top style="medium">
        <color rgb="FFFF0000"/>
      </top>
      <bottom style="thin">
        <color rgb="FFFF0000"/>
      </bottom>
      <diagonal/>
    </border>
    <border diagonalUp="false" diagonalDown="false">
      <left/>
      <right style="thin"/>
      <top/>
      <bottom style="thin"/>
      <diagonal/>
    </border>
    <border diagonalUp="false" diagonalDown="false">
      <left style="medium">
        <color rgb="FFFF0000"/>
      </left>
      <right/>
      <top/>
      <bottom style="medium">
        <color rgb="FFFF0000"/>
      </bottom>
      <diagonal/>
    </border>
    <border diagonalUp="false" diagonalDown="false">
      <left/>
      <right/>
      <top/>
      <bottom style="medium">
        <color rgb="FFFF0000"/>
      </bottom>
      <diagonal/>
    </border>
    <border diagonalUp="false" diagonalDown="false">
      <left style="medium">
        <color rgb="FFFF0000"/>
      </left>
      <right/>
      <top style="thin">
        <color rgb="FFFF0000"/>
      </top>
      <bottom style="medium">
        <color rgb="FFFF0000"/>
      </bottom>
      <diagonal/>
    </border>
    <border diagonalUp="false" diagonalDown="false">
      <left/>
      <right style="double">
        <color rgb="FFFF0000"/>
      </right>
      <top/>
      <bottom style="medium">
        <color rgb="FFFF0000"/>
      </bottom>
      <diagonal/>
    </border>
    <border diagonalUp="false" diagonalDown="false">
      <left/>
      <right/>
      <top style="thin">
        <color rgb="FFFF0000"/>
      </top>
      <bottom style="medium">
        <color rgb="FFFF0000"/>
      </bottom>
      <diagonal/>
    </border>
    <border diagonalUp="false" diagonalDown="false">
      <left style="thin"/>
      <right/>
      <top/>
      <bottom style="thin"/>
      <diagonal/>
    </border>
    <border diagonalUp="false" diagonalDown="false">
      <left style="thin"/>
      <right/>
      <top/>
      <bottom/>
      <diagonal/>
    </border>
    <border diagonalUp="false" diagonalDown="false">
      <left/>
      <right style="thin"/>
      <top/>
      <bottom/>
      <diagonal/>
    </border>
    <border diagonalUp="false" diagonalDown="false">
      <left style="thick">
        <color rgb="FFC0C0C0"/>
      </left>
      <right/>
      <top/>
      <bottom style="thick">
        <color rgb="FFC0C0C0"/>
      </bottom>
      <diagonal/>
    </border>
    <border diagonalUp="false" diagonalDown="false">
      <left/>
      <right style="thick">
        <color rgb="FFC0C0C0"/>
      </right>
      <top/>
      <bottom style="thick">
        <color rgb="FFC0C0C0"/>
      </bottom>
      <diagonal/>
    </border>
    <border diagonalUp="false" diagonalDown="false">
      <left style="medium">
        <color rgb="FFFF0000"/>
      </left>
      <right/>
      <top style="thin"/>
      <bottom style="thin"/>
      <diagonal/>
    </border>
    <border diagonalUp="false" diagonalDown="false">
      <left style="thin"/>
      <right style="medium"/>
      <top style="thin"/>
      <bottom style="hair"/>
      <diagonal/>
    </border>
    <border diagonalUp="false" diagonalDown="false">
      <left style="medium"/>
      <right style="thin"/>
      <top style="thin"/>
      <bottom style="hair"/>
      <diagonal/>
    </border>
    <border diagonalUp="false" diagonalDown="false">
      <left style="thin"/>
      <right style="thin"/>
      <top style="thin"/>
      <bottom style="hair"/>
      <diagonal/>
    </border>
    <border diagonalUp="false" diagonalDown="false">
      <left style="medium">
        <color rgb="FFFF0000"/>
      </left>
      <right/>
      <top style="thin"/>
      <bottom/>
      <diagonal/>
    </border>
    <border diagonalUp="false" diagonalDown="false">
      <left style="thin"/>
      <right style="medium"/>
      <top style="hair"/>
      <bottom style="hair"/>
      <diagonal/>
    </border>
    <border diagonalUp="false" diagonalDown="false">
      <left style="medium"/>
      <right style="thin"/>
      <top style="hair"/>
      <bottom style="hair"/>
      <diagonal/>
    </border>
    <border diagonalUp="false" diagonalDown="false">
      <left style="thin"/>
      <right style="thin"/>
      <top style="hair"/>
      <bottom style="hair"/>
      <diagonal/>
    </border>
    <border diagonalUp="false" diagonalDown="false">
      <left style="thin"/>
      <right/>
      <top style="thin"/>
      <bottom/>
      <diagonal/>
    </border>
    <border diagonalUp="false" diagonalDown="false">
      <left style="thin"/>
      <right/>
      <top/>
      <bottom style="hair"/>
      <diagonal/>
    </border>
    <border diagonalUp="false" diagonalDown="false">
      <left/>
      <right/>
      <top/>
      <bottom style="hair"/>
      <diagonal/>
    </border>
    <border diagonalUp="false" diagonalDown="false">
      <left style="thin"/>
      <right style="medium"/>
      <top style="hair"/>
      <bottom/>
      <diagonal/>
    </border>
    <border diagonalUp="false" diagonalDown="false">
      <left style="medium"/>
      <right style="thin"/>
      <top style="hair"/>
      <bottom/>
      <diagonal/>
    </border>
    <border diagonalUp="false" diagonalDown="false">
      <left style="thin"/>
      <right style="thin"/>
      <top style="hair"/>
      <bottom/>
      <diagonal/>
    </border>
    <border diagonalUp="false" diagonalDown="false">
      <left style="thin"/>
      <right style="medium"/>
      <top style="hair"/>
      <bottom style="thin"/>
      <diagonal/>
    </border>
    <border diagonalUp="false" diagonalDown="false">
      <left style="medium"/>
      <right style="thin"/>
      <top style="hair"/>
      <bottom style="thin"/>
      <diagonal/>
    </border>
    <border diagonalUp="false" diagonalDown="false">
      <left style="thin"/>
      <right style="thin"/>
      <top style="hair"/>
      <bottom style="thin"/>
      <diagonal/>
    </border>
    <border diagonalUp="false" diagonalDown="false">
      <left/>
      <right style="thin"/>
      <top/>
      <bottom style="medium">
        <color rgb="FFFF0000"/>
      </bottom>
      <diagonal/>
    </border>
    <border diagonalUp="false" diagonalDown="false">
      <left style="thin"/>
      <right/>
      <top/>
      <bottom style="medium">
        <color rgb="FFFF0000"/>
      </bottom>
      <diagonal/>
    </border>
    <border diagonalUp="false" diagonalDown="false">
      <left/>
      <right style="thin"/>
      <top style="thin"/>
      <bottom style="hair"/>
      <diagonal/>
    </border>
    <border diagonalUp="false" diagonalDown="false">
      <left/>
      <right style="thin"/>
      <top style="thin"/>
      <bottom/>
      <diagonal/>
    </border>
    <border diagonalUp="false" diagonalDown="false">
      <left style="thin"/>
      <right style="medium"/>
      <top/>
      <bottom style="hair"/>
      <diagonal/>
    </border>
    <border diagonalUp="false" diagonalDown="false">
      <left style="thin"/>
      <right/>
      <top style="thin"/>
      <bottom style="hair"/>
      <diagonal/>
    </border>
    <border diagonalUp="false" diagonalDown="false">
      <left/>
      <right/>
      <top style="thin"/>
      <bottom style="hair"/>
      <diagonal/>
    </border>
    <border diagonalUp="false" diagonalDown="false">
      <left/>
      <right/>
      <top style="hair"/>
      <bottom style="hair"/>
      <diagonal/>
    </border>
    <border diagonalUp="false" diagonalDown="false">
      <left/>
      <right style="thin"/>
      <top style="hair"/>
      <bottom style="hair"/>
      <diagonal/>
    </border>
    <border diagonalUp="false" diagonalDown="false">
      <left style="thin"/>
      <right/>
      <top style="hair"/>
      <bottom style="hair"/>
      <diagonal/>
    </border>
    <border diagonalUp="false" diagonalDown="false">
      <left/>
      <right style="thin"/>
      <top style="hair"/>
      <bottom style="thin"/>
      <diagonal/>
    </border>
    <border diagonalUp="false" diagonalDown="false">
      <left style="thin"/>
      <right/>
      <top style="hair"/>
      <bottom style="thin"/>
      <diagonal/>
    </border>
    <border diagonalUp="false" diagonalDown="false">
      <left/>
      <right/>
      <top style="hair"/>
      <bottom style="thin"/>
      <diagonal/>
    </border>
  </borders>
  <cellStyleXfs count="61">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43" fontId="1" fillId="0" borderId="0" applyFont="true" applyBorder="false" applyAlignment="false" applyProtection="false"/>
    <xf numFmtId="41" fontId="1" fillId="0" borderId="0" applyFont="true" applyBorder="false" applyAlignment="false" applyProtection="false"/>
    <xf numFmtId="44" fontId="1" fillId="0" borderId="0" applyFont="true" applyBorder="false" applyAlignment="false" applyProtection="false"/>
    <xf numFmtId="42" fontId="1" fillId="0" borderId="0" applyFont="true" applyBorder="false" applyAlignment="false" applyProtection="false"/>
    <xf numFmtId="9" fontId="1" fillId="0" borderId="0" applyFont="true" applyBorder="false" applyAlignment="false" applyProtection="false"/>
    <xf numFmtId="164" fontId="4" fillId="2" borderId="0" applyFont="true" applyBorder="false" applyAlignment="false" applyProtection="false"/>
    <xf numFmtId="164" fontId="4" fillId="3" borderId="0" applyFont="true" applyBorder="false" applyAlignment="false" applyProtection="false"/>
    <xf numFmtId="164" fontId="4" fillId="4" borderId="0" applyFont="true" applyBorder="false" applyAlignment="false" applyProtection="false"/>
    <xf numFmtId="164" fontId="4" fillId="5" borderId="0" applyFont="true" applyBorder="false" applyAlignment="false" applyProtection="false"/>
    <xf numFmtId="164" fontId="4" fillId="6" borderId="0" applyFont="true" applyBorder="false" applyAlignment="false" applyProtection="false"/>
    <xf numFmtId="164" fontId="4" fillId="7" borderId="0" applyFont="true" applyBorder="false" applyAlignment="false" applyProtection="false"/>
    <xf numFmtId="164" fontId="4" fillId="8" borderId="0" applyFont="true" applyBorder="false" applyAlignment="false" applyProtection="false"/>
    <xf numFmtId="164" fontId="4" fillId="9" borderId="0" applyFont="true" applyBorder="false" applyAlignment="false" applyProtection="false"/>
    <xf numFmtId="164" fontId="4" fillId="10" borderId="0" applyFont="true" applyBorder="false" applyAlignment="false" applyProtection="false"/>
    <xf numFmtId="164" fontId="4" fillId="5" borderId="0" applyFont="true" applyBorder="false" applyAlignment="false" applyProtection="false"/>
    <xf numFmtId="164" fontId="4" fillId="8" borderId="0" applyFont="true" applyBorder="false" applyAlignment="false" applyProtection="false"/>
    <xf numFmtId="164" fontId="4" fillId="11" borderId="0" applyFont="true" applyBorder="false" applyAlignment="false" applyProtection="false"/>
    <xf numFmtId="164" fontId="5" fillId="12" borderId="0" applyFont="true" applyBorder="false" applyAlignment="false" applyProtection="false"/>
    <xf numFmtId="164" fontId="5" fillId="9" borderId="0" applyFont="true" applyBorder="false" applyAlignment="false" applyProtection="false"/>
    <xf numFmtId="164" fontId="5" fillId="10" borderId="0" applyFont="true" applyBorder="false" applyAlignment="false" applyProtection="false"/>
    <xf numFmtId="164" fontId="5" fillId="13" borderId="0" applyFont="true" applyBorder="false" applyAlignment="false" applyProtection="false"/>
    <xf numFmtId="164" fontId="5" fillId="14" borderId="0" applyFont="true" applyBorder="false" applyAlignment="false" applyProtection="false"/>
    <xf numFmtId="164" fontId="5" fillId="15" borderId="0" applyFont="true" applyBorder="false" applyAlignment="false" applyProtection="false"/>
    <xf numFmtId="164" fontId="5" fillId="16" borderId="0" applyFont="true" applyBorder="false" applyAlignment="false" applyProtection="false"/>
    <xf numFmtId="164" fontId="5" fillId="17" borderId="0" applyFont="true" applyBorder="false" applyAlignment="false" applyProtection="false"/>
    <xf numFmtId="164" fontId="5" fillId="18" borderId="0" applyFont="true" applyBorder="false" applyAlignment="false" applyProtection="false"/>
    <xf numFmtId="164" fontId="5" fillId="13" borderId="0" applyFont="true" applyBorder="false" applyAlignment="false" applyProtection="false"/>
    <xf numFmtId="164" fontId="5" fillId="14" borderId="0" applyFont="true" applyBorder="false" applyAlignment="false" applyProtection="false"/>
    <xf numFmtId="164" fontId="5" fillId="19" borderId="0" applyFont="true" applyBorder="false" applyAlignment="false" applyProtection="false"/>
    <xf numFmtId="164" fontId="6" fillId="0" borderId="0" applyFont="true" applyBorder="false" applyAlignment="false" applyProtection="false"/>
    <xf numFmtId="164" fontId="7" fillId="20" borderId="1" applyFont="true" applyBorder="true" applyAlignment="false" applyProtection="false"/>
    <xf numFmtId="164" fontId="8" fillId="0" borderId="2" applyFont="true" applyBorder="true" applyAlignment="false" applyProtection="false"/>
    <xf numFmtId="164" fontId="0" fillId="21" borderId="3" applyFont="true" applyBorder="true" applyAlignment="false" applyProtection="false"/>
    <xf numFmtId="164" fontId="9" fillId="7" borderId="1" applyFont="true" applyBorder="true" applyAlignment="false" applyProtection="false"/>
    <xf numFmtId="164" fontId="10" fillId="3" borderId="0" applyFont="true" applyBorder="false" applyAlignment="false" applyProtection="false"/>
    <xf numFmtId="164" fontId="11" fillId="22" borderId="0" applyFont="true" applyBorder="false" applyAlignment="false" applyProtection="false"/>
    <xf numFmtId="164" fontId="12" fillId="4" borderId="0" applyFont="true" applyBorder="false" applyAlignment="false" applyProtection="false"/>
    <xf numFmtId="164" fontId="13" fillId="20" borderId="4" applyFont="true" applyBorder="true" applyAlignment="false" applyProtection="false"/>
    <xf numFmtId="164" fontId="14" fillId="0" borderId="0" applyFont="true" applyBorder="false" applyAlignment="false" applyProtection="false"/>
    <xf numFmtId="164" fontId="15" fillId="0" borderId="0" applyFont="true" applyBorder="false" applyAlignment="false" applyProtection="false"/>
    <xf numFmtId="164" fontId="16" fillId="0" borderId="5" applyFont="true" applyBorder="true" applyAlignment="false" applyProtection="false"/>
    <xf numFmtId="164" fontId="17" fillId="0" borderId="6" applyFont="true" applyBorder="true" applyAlignment="false" applyProtection="false"/>
    <xf numFmtId="164" fontId="18" fillId="0" borderId="7" applyFont="true" applyBorder="true" applyAlignment="false" applyProtection="false"/>
    <xf numFmtId="164" fontId="18" fillId="0" borderId="0" applyFont="true" applyBorder="false" applyAlignment="false" applyProtection="false"/>
    <xf numFmtId="164" fontId="19" fillId="0" borderId="8" applyFont="true" applyBorder="true" applyAlignment="false" applyProtection="false"/>
    <xf numFmtId="164" fontId="20" fillId="23" borderId="9" applyFont="true" applyBorder="true" applyAlignment="false" applyProtection="false"/>
  </cellStyleXfs>
  <cellXfs count="263">
    <xf numFmtId="164" fontId="0" fillId="0" borderId="0" xfId="0" applyFont="false" applyBorder="false" applyAlignment="false" applyProtection="false">
      <alignment horizontal="general" vertical="bottom" textRotation="0" wrapText="false" indent="0" shrinkToFit="false"/>
      <protection locked="true" hidden="false"/>
    </xf>
    <xf numFmtId="164" fontId="0" fillId="0" borderId="0" xfId="0" applyFont="false" applyBorder="false" applyAlignment="false" applyProtection="true">
      <alignment horizontal="general" vertical="bottom" textRotation="0" wrapText="false" indent="0" shrinkToFit="false"/>
      <protection locked="true" hidden="true"/>
    </xf>
    <xf numFmtId="164" fontId="0" fillId="0" borderId="0" xfId="0" applyFont="false" applyBorder="false" applyAlignment="false" applyProtection="true">
      <alignment horizontal="general" vertical="bottom" textRotation="0" wrapText="false" indent="0" shrinkToFit="false"/>
      <protection locked="true" hidden="true"/>
    </xf>
    <xf numFmtId="164" fontId="21" fillId="24" borderId="10" xfId="0" applyFont="true" applyBorder="true" applyAlignment="true" applyProtection="true">
      <alignment horizontal="left" vertical="bottom" textRotation="0" wrapText="false" indent="0" shrinkToFit="false"/>
      <protection locked="true" hidden="true"/>
    </xf>
    <xf numFmtId="164" fontId="21" fillId="24" borderId="11" xfId="0" applyFont="true" applyBorder="true" applyAlignment="true" applyProtection="true">
      <alignment horizontal="center" vertical="bottom" textRotation="0" wrapText="false" indent="0" shrinkToFit="false"/>
      <protection locked="true" hidden="true"/>
    </xf>
    <xf numFmtId="164" fontId="21" fillId="17" borderId="11" xfId="0" applyFont="true" applyBorder="true" applyAlignment="true" applyProtection="true">
      <alignment horizontal="center" vertical="bottom" textRotation="0" wrapText="false" indent="0" shrinkToFit="false"/>
      <protection locked="true" hidden="true"/>
    </xf>
    <xf numFmtId="164" fontId="22" fillId="24" borderId="11" xfId="0" applyFont="true" applyBorder="true" applyAlignment="true" applyProtection="true">
      <alignment horizontal="left" vertical="bottom" textRotation="0" wrapText="false" indent="0" shrinkToFit="false"/>
      <protection locked="true" hidden="true"/>
    </xf>
    <xf numFmtId="164" fontId="21" fillId="0" borderId="11" xfId="0" applyFont="true" applyBorder="true" applyAlignment="true" applyProtection="true">
      <alignment horizontal="center" vertical="bottom" textRotation="0" wrapText="false" indent="0" shrinkToFit="false"/>
      <protection locked="false" hidden="false"/>
    </xf>
    <xf numFmtId="164" fontId="23" fillId="24" borderId="11" xfId="0" applyFont="true" applyBorder="true" applyAlignment="true" applyProtection="true">
      <alignment horizontal="right" vertical="bottom" textRotation="0" wrapText="false" indent="0" shrinkToFit="false"/>
      <protection locked="true" hidden="true"/>
    </xf>
    <xf numFmtId="164" fontId="23" fillId="25" borderId="12" xfId="0" applyFont="true" applyBorder="true" applyAlignment="true" applyProtection="true">
      <alignment horizontal="right" vertical="bottom" textRotation="0" wrapText="false" indent="0" shrinkToFit="false"/>
      <protection locked="true" hidden="true"/>
    </xf>
    <xf numFmtId="164" fontId="0" fillId="17" borderId="0" xfId="0" applyFont="false" applyBorder="false" applyAlignment="false" applyProtection="true">
      <alignment horizontal="general" vertical="bottom" textRotation="0" wrapText="false" indent="0" shrinkToFit="false"/>
      <protection locked="true" hidden="true"/>
    </xf>
    <xf numFmtId="164" fontId="0" fillId="15" borderId="13" xfId="0" applyFont="false" applyBorder="true" applyAlignment="false" applyProtection="true">
      <alignment horizontal="general" vertical="bottom" textRotation="0" wrapText="false" indent="0" shrinkToFit="false"/>
      <protection locked="true" hidden="true"/>
    </xf>
    <xf numFmtId="164" fontId="24" fillId="15" borderId="14" xfId="0" applyFont="true" applyBorder="true" applyAlignment="true" applyProtection="true">
      <alignment horizontal="center" vertical="center" textRotation="0" wrapText="false" indent="0" shrinkToFit="false"/>
      <protection locked="true" hidden="true"/>
    </xf>
    <xf numFmtId="164" fontId="25" fillId="6" borderId="10" xfId="0" applyFont="true" applyBorder="true" applyAlignment="true" applyProtection="true">
      <alignment horizontal="left" vertical="bottom" textRotation="0" wrapText="false" indent="0" shrinkToFit="false"/>
      <protection locked="false" hidden="false"/>
    </xf>
    <xf numFmtId="164" fontId="25" fillId="6" borderId="15" xfId="0" applyFont="true" applyBorder="true" applyAlignment="true" applyProtection="true">
      <alignment horizontal="left" vertical="bottom" textRotation="0" wrapText="false" indent="0" shrinkToFit="false"/>
      <protection locked="true" hidden="false"/>
    </xf>
    <xf numFmtId="164" fontId="25" fillId="6" borderId="11" xfId="0" applyFont="true" applyBorder="true" applyAlignment="true" applyProtection="true">
      <alignment horizontal="left" vertical="bottom" textRotation="0" wrapText="false" indent="0" shrinkToFit="false"/>
      <protection locked="false" hidden="false"/>
    </xf>
    <xf numFmtId="164" fontId="26" fillId="17" borderId="11" xfId="0" applyFont="true" applyBorder="true" applyAlignment="true" applyProtection="true">
      <alignment horizontal="left" vertical="bottom" textRotation="0" wrapText="false" indent="0" shrinkToFit="false"/>
      <protection locked="false" hidden="false"/>
    </xf>
    <xf numFmtId="164" fontId="27" fillId="6" borderId="11" xfId="0" applyFont="true" applyBorder="true" applyAlignment="true" applyProtection="true">
      <alignment horizontal="left" vertical="bottom" textRotation="0" wrapText="false" indent="0" shrinkToFit="false"/>
      <protection locked="true" hidden="false"/>
    </xf>
    <xf numFmtId="164" fontId="26" fillId="6" borderId="11" xfId="0" applyFont="true" applyBorder="true" applyAlignment="true" applyProtection="true">
      <alignment horizontal="left" vertical="bottom" textRotation="0" wrapText="false" indent="0" shrinkToFit="false"/>
      <protection locked="true" hidden="false"/>
    </xf>
    <xf numFmtId="164" fontId="25" fillId="6" borderId="11" xfId="0" applyFont="true" applyBorder="true" applyAlignment="true" applyProtection="true">
      <alignment horizontal="left" vertical="bottom" textRotation="0" wrapText="false" indent="0" shrinkToFit="false"/>
      <protection locked="true" hidden="false"/>
    </xf>
    <xf numFmtId="164" fontId="27" fillId="24" borderId="11" xfId="0" applyFont="true" applyBorder="true" applyAlignment="true" applyProtection="true">
      <alignment horizontal="left" vertical="bottom" textRotation="0" wrapText="false" indent="0" shrinkToFit="false"/>
      <protection locked="false" hidden="false"/>
    </xf>
    <xf numFmtId="164" fontId="23" fillId="24" borderId="0" xfId="0" applyFont="true" applyBorder="false" applyAlignment="true" applyProtection="true">
      <alignment horizontal="right" vertical="bottom" textRotation="0" wrapText="false" indent="0" shrinkToFit="false"/>
      <protection locked="true" hidden="true"/>
    </xf>
    <xf numFmtId="164" fontId="0" fillId="15" borderId="16" xfId="0" applyFont="false" applyBorder="true" applyAlignment="false" applyProtection="true">
      <alignment horizontal="general" vertical="bottom" textRotation="0" wrapText="false" indent="0" shrinkToFit="false"/>
      <protection locked="true" hidden="true"/>
    </xf>
    <xf numFmtId="164" fontId="0" fillId="15" borderId="17" xfId="0" applyFont="false" applyBorder="true" applyAlignment="false" applyProtection="true">
      <alignment horizontal="general" vertical="bottom" textRotation="0" wrapText="false" indent="0" shrinkToFit="false"/>
      <protection locked="true" hidden="true"/>
    </xf>
    <xf numFmtId="164" fontId="25" fillId="17" borderId="18" xfId="0" applyFont="true" applyBorder="true" applyAlignment="true" applyProtection="true">
      <alignment horizontal="general" vertical="bottom" textRotation="0" wrapText="false" indent="0" shrinkToFit="false"/>
      <protection locked="true" hidden="true"/>
    </xf>
    <xf numFmtId="164" fontId="25" fillId="6" borderId="11" xfId="0" applyFont="true" applyBorder="true" applyAlignment="true" applyProtection="true">
      <alignment horizontal="general" vertical="bottom" textRotation="0" wrapText="false" indent="0" shrinkToFit="false"/>
      <protection locked="true" hidden="true"/>
    </xf>
    <xf numFmtId="164" fontId="25" fillId="6" borderId="18" xfId="0" applyFont="true" applyBorder="true" applyAlignment="true" applyProtection="true">
      <alignment horizontal="general" vertical="bottom" textRotation="0" wrapText="false" indent="0" shrinkToFit="false"/>
      <protection locked="true" hidden="true"/>
    </xf>
    <xf numFmtId="164" fontId="0" fillId="6" borderId="0" xfId="0" applyFont="false" applyBorder="false" applyAlignment="false" applyProtection="true">
      <alignment horizontal="general" vertical="bottom" textRotation="0" wrapText="false" indent="0" shrinkToFit="false"/>
      <protection locked="true" hidden="true"/>
    </xf>
    <xf numFmtId="165" fontId="25" fillId="6" borderId="19" xfId="0" applyFont="true" applyBorder="true" applyAlignment="true" applyProtection="true">
      <alignment horizontal="general" vertical="bottom" textRotation="0" wrapText="false" indent="0" shrinkToFit="false"/>
      <protection locked="false" hidden="false"/>
    </xf>
    <xf numFmtId="164" fontId="25" fillId="6" borderId="0" xfId="0" applyFont="true" applyBorder="false" applyAlignment="false" applyProtection="true">
      <alignment horizontal="general" vertical="bottom" textRotation="0" wrapText="false" indent="0" shrinkToFit="false"/>
      <protection locked="true" hidden="true"/>
    </xf>
    <xf numFmtId="164" fontId="25" fillId="6" borderId="19" xfId="0" applyFont="true" applyBorder="true" applyAlignment="true" applyProtection="true">
      <alignment horizontal="left" vertical="bottom" textRotation="0" wrapText="false" indent="0" shrinkToFit="false"/>
      <protection locked="false" hidden="false"/>
    </xf>
    <xf numFmtId="164" fontId="25" fillId="6" borderId="20" xfId="0" applyFont="true" applyBorder="true" applyAlignment="true" applyProtection="true">
      <alignment horizontal="right" vertical="bottom" textRotation="0" wrapText="false" indent="0" shrinkToFit="false"/>
      <protection locked="true" hidden="true"/>
    </xf>
    <xf numFmtId="164" fontId="25" fillId="25" borderId="12" xfId="0" applyFont="true" applyBorder="true" applyAlignment="true" applyProtection="true">
      <alignment horizontal="right" vertical="bottom" textRotation="0" wrapText="false" indent="0" shrinkToFit="false"/>
      <protection locked="true" hidden="true"/>
    </xf>
    <xf numFmtId="166" fontId="25" fillId="6" borderId="21" xfId="0" applyFont="true" applyBorder="true" applyAlignment="true" applyProtection="true">
      <alignment horizontal="left" vertical="bottom" textRotation="0" wrapText="false" indent="0" shrinkToFit="false"/>
      <protection locked="false" hidden="false"/>
    </xf>
    <xf numFmtId="164" fontId="25" fillId="20" borderId="22" xfId="0" applyFont="true" applyBorder="true" applyAlignment="true" applyProtection="true">
      <alignment horizontal="left" vertical="bottom" textRotation="0" wrapText="false" indent="0" shrinkToFit="false"/>
      <protection locked="true" hidden="true"/>
    </xf>
    <xf numFmtId="164" fontId="25" fillId="20" borderId="22" xfId="0" applyFont="true" applyBorder="true" applyAlignment="false" applyProtection="true">
      <alignment horizontal="general" vertical="bottom" textRotation="0" wrapText="false" indent="0" shrinkToFit="false"/>
      <protection locked="true" hidden="true"/>
    </xf>
    <xf numFmtId="164" fontId="25" fillId="17" borderId="22" xfId="0" applyFont="true" applyBorder="true" applyAlignment="false" applyProtection="true">
      <alignment horizontal="general" vertical="bottom" textRotation="0" wrapText="false" indent="0" shrinkToFit="false"/>
      <protection locked="true" hidden="true"/>
    </xf>
    <xf numFmtId="164" fontId="28" fillId="4" borderId="23" xfId="0" applyFont="true" applyBorder="true" applyAlignment="false" applyProtection="true">
      <alignment horizontal="general" vertical="bottom" textRotation="0" wrapText="false" indent="0" shrinkToFit="false"/>
      <protection locked="true" hidden="true"/>
    </xf>
    <xf numFmtId="164" fontId="0" fillId="4" borderId="24" xfId="0" applyFont="false" applyBorder="true" applyAlignment="false" applyProtection="true">
      <alignment horizontal="general" vertical="bottom" textRotation="0" wrapText="false" indent="0" shrinkToFit="false"/>
      <protection locked="true" hidden="true"/>
    </xf>
    <xf numFmtId="164" fontId="0" fillId="4" borderId="25" xfId="0" applyFont="false" applyBorder="true" applyAlignment="false" applyProtection="true">
      <alignment horizontal="general" vertical="bottom" textRotation="0" wrapText="false" indent="0" shrinkToFit="false"/>
      <protection locked="true" hidden="true"/>
    </xf>
    <xf numFmtId="164" fontId="29" fillId="4" borderId="25" xfId="0" applyFont="true" applyBorder="true" applyAlignment="false" applyProtection="true">
      <alignment horizontal="general" vertical="bottom" textRotation="0" wrapText="false" indent="0" shrinkToFit="false"/>
      <protection locked="true" hidden="true"/>
    </xf>
    <xf numFmtId="164" fontId="29" fillId="25" borderId="26" xfId="0" applyFont="true" applyBorder="true" applyAlignment="false" applyProtection="true">
      <alignment horizontal="general" vertical="bottom" textRotation="0" wrapText="false" indent="0" shrinkToFit="false"/>
      <protection locked="true" hidden="true"/>
    </xf>
    <xf numFmtId="164" fontId="24" fillId="15" borderId="17" xfId="0" applyFont="true" applyBorder="true" applyAlignment="true" applyProtection="true">
      <alignment horizontal="center" vertical="bottom" textRotation="0" wrapText="false" indent="0" shrinkToFit="false"/>
      <protection locked="true" hidden="true"/>
    </xf>
    <xf numFmtId="164" fontId="30" fillId="22" borderId="27" xfId="0" applyFont="true" applyBorder="true" applyAlignment="false" applyProtection="true">
      <alignment horizontal="general" vertical="bottom" textRotation="0" wrapText="false" indent="0" shrinkToFit="false"/>
      <protection locked="true" hidden="true"/>
    </xf>
    <xf numFmtId="164" fontId="25" fillId="22" borderId="28" xfId="0" applyFont="true" applyBorder="true" applyAlignment="true" applyProtection="true">
      <alignment horizontal="center" vertical="bottom" textRotation="0" wrapText="false" indent="0" shrinkToFit="false"/>
      <protection locked="true" hidden="true"/>
    </xf>
    <xf numFmtId="164" fontId="25" fillId="22" borderId="29" xfId="0" applyFont="true" applyBorder="true" applyAlignment="true" applyProtection="true">
      <alignment horizontal="center" vertical="bottom" textRotation="0" wrapText="false" indent="0" shrinkToFit="false"/>
      <protection locked="true" hidden="true"/>
    </xf>
    <xf numFmtId="164" fontId="25" fillId="17" borderId="0" xfId="0" applyFont="true" applyBorder="true" applyAlignment="true" applyProtection="true">
      <alignment horizontal="center" vertical="bottom" textRotation="0" wrapText="false" indent="0" shrinkToFit="false"/>
      <protection locked="true" hidden="true"/>
    </xf>
    <xf numFmtId="164" fontId="25" fillId="22" borderId="0" xfId="0" applyFont="true" applyBorder="true" applyAlignment="true" applyProtection="true">
      <alignment horizontal="center" vertical="bottom" textRotation="0" wrapText="false" indent="0" shrinkToFit="false"/>
      <protection locked="true" hidden="true"/>
    </xf>
    <xf numFmtId="164" fontId="25" fillId="20" borderId="0" xfId="0" applyFont="true" applyBorder="true" applyAlignment="true" applyProtection="true">
      <alignment horizontal="center" vertical="bottom" textRotation="0" wrapText="false" indent="0" shrinkToFit="false"/>
      <protection locked="true" hidden="true"/>
    </xf>
    <xf numFmtId="164" fontId="25" fillId="4" borderId="30" xfId="0" applyFont="true" applyBorder="true" applyAlignment="true" applyProtection="true">
      <alignment horizontal="left" vertical="bottom" textRotation="0" wrapText="false" indent="0" shrinkToFit="false"/>
      <protection locked="true" hidden="true"/>
    </xf>
    <xf numFmtId="164" fontId="25" fillId="4" borderId="31" xfId="0" applyFont="true" applyBorder="true" applyAlignment="true" applyProtection="true">
      <alignment horizontal="center" vertical="bottom" textRotation="0" wrapText="false" indent="0" shrinkToFit="false"/>
      <protection locked="true" hidden="true"/>
    </xf>
    <xf numFmtId="164" fontId="31" fillId="4" borderId="31" xfId="0" applyFont="true" applyBorder="true" applyAlignment="true" applyProtection="true">
      <alignment horizontal="center" vertical="bottom" textRotation="0" wrapText="false" indent="0" shrinkToFit="false"/>
      <protection locked="true" hidden="true"/>
    </xf>
    <xf numFmtId="167" fontId="32" fillId="17" borderId="32" xfId="0" applyFont="true" applyBorder="true" applyAlignment="true" applyProtection="true">
      <alignment horizontal="right" vertical="top" textRotation="0" wrapText="false" indent="0" shrinkToFit="false"/>
      <protection locked="true" hidden="true"/>
    </xf>
    <xf numFmtId="167" fontId="32" fillId="17" borderId="33" xfId="0" applyFont="true" applyBorder="true" applyAlignment="true" applyProtection="true">
      <alignment horizontal="left" vertical="top" textRotation="0" wrapText="false" indent="0" shrinkToFit="false"/>
      <protection locked="true" hidden="true"/>
    </xf>
    <xf numFmtId="167" fontId="33" fillId="17" borderId="24" xfId="0" applyFont="true" applyBorder="true" applyAlignment="true" applyProtection="true">
      <alignment horizontal="left" vertical="top" textRotation="0" wrapText="false" indent="0" shrinkToFit="false"/>
      <protection locked="true" hidden="true"/>
    </xf>
    <xf numFmtId="167" fontId="30" fillId="17" borderId="24" xfId="0" applyFont="true" applyBorder="true" applyAlignment="true" applyProtection="true">
      <alignment horizontal="center" vertical="top" textRotation="0" wrapText="false" indent="0" shrinkToFit="false"/>
      <protection locked="true" hidden="true"/>
    </xf>
    <xf numFmtId="167" fontId="33" fillId="25" borderId="26" xfId="0" applyFont="true" applyBorder="true" applyAlignment="true" applyProtection="true">
      <alignment horizontal="left" vertical="top" textRotation="0" wrapText="false" indent="0" shrinkToFit="false"/>
      <protection locked="true" hidden="true"/>
    </xf>
    <xf numFmtId="164" fontId="25" fillId="6" borderId="34" xfId="0" applyFont="true" applyBorder="true" applyAlignment="true" applyProtection="true">
      <alignment horizontal="center" vertical="bottom" textRotation="0" wrapText="false" indent="0" shrinkToFit="false"/>
      <protection locked="false" hidden="false"/>
    </xf>
    <xf numFmtId="164" fontId="29" fillId="4" borderId="35" xfId="0" applyFont="true" applyBorder="true" applyAlignment="true" applyProtection="true">
      <alignment horizontal="left" vertical="bottom" textRotation="0" wrapText="false" indent="0" shrinkToFit="false"/>
      <protection locked="true" hidden="true"/>
    </xf>
    <xf numFmtId="164" fontId="25" fillId="4" borderId="36" xfId="0" applyFont="true" applyBorder="true" applyAlignment="true" applyProtection="true">
      <alignment horizontal="center" vertical="bottom" textRotation="0" wrapText="false" indent="0" shrinkToFit="false"/>
      <protection locked="true" hidden="true"/>
    </xf>
    <xf numFmtId="164" fontId="0" fillId="4" borderId="36" xfId="0" applyFont="false" applyBorder="true" applyAlignment="false" applyProtection="true">
      <alignment horizontal="general" vertical="bottom" textRotation="0" wrapText="false" indent="0" shrinkToFit="false"/>
      <protection locked="true" hidden="true"/>
    </xf>
    <xf numFmtId="164" fontId="34" fillId="17" borderId="37" xfId="0" applyFont="true" applyBorder="true" applyAlignment="true" applyProtection="true">
      <alignment horizontal="left" vertical="bottom" textRotation="0" wrapText="false" indent="0" shrinkToFit="false"/>
      <protection locked="true" hidden="true"/>
    </xf>
    <xf numFmtId="164" fontId="25" fillId="17" borderId="38" xfId="0" applyFont="true" applyBorder="true" applyAlignment="true" applyProtection="true">
      <alignment horizontal="right" vertical="top" textRotation="0" wrapText="false" indent="0" shrinkToFit="false"/>
      <protection locked="true" hidden="true"/>
    </xf>
    <xf numFmtId="164" fontId="35" fillId="17" borderId="39" xfId="0" applyFont="true" applyBorder="true" applyAlignment="true" applyProtection="true">
      <alignment horizontal="center" vertical="top" textRotation="0" wrapText="false" indent="0" shrinkToFit="false"/>
      <protection locked="true" hidden="true"/>
    </xf>
    <xf numFmtId="164" fontId="35" fillId="25" borderId="26" xfId="0" applyFont="true" applyBorder="true" applyAlignment="true" applyProtection="true">
      <alignment horizontal="center" vertical="top" textRotation="0" wrapText="false" indent="0" shrinkToFit="false"/>
      <protection locked="true" hidden="true"/>
    </xf>
    <xf numFmtId="164" fontId="36" fillId="22" borderId="27" xfId="0" applyFont="true" applyBorder="true" applyAlignment="false" applyProtection="true">
      <alignment horizontal="general" vertical="bottom" textRotation="0" wrapText="false" indent="0" shrinkToFit="false"/>
      <protection locked="true" hidden="true"/>
    </xf>
    <xf numFmtId="164" fontId="30" fillId="6" borderId="15" xfId="0" applyFont="true" applyBorder="true" applyAlignment="true" applyProtection="true">
      <alignment horizontal="center" vertical="bottom" textRotation="0" wrapText="false" indent="0" shrinkToFit="false"/>
      <protection locked="false" hidden="false"/>
    </xf>
    <xf numFmtId="164" fontId="30" fillId="6" borderId="21" xfId="0" applyFont="true" applyBorder="true" applyAlignment="true" applyProtection="true">
      <alignment horizontal="center" vertical="bottom" textRotation="0" wrapText="false" indent="0" shrinkToFit="false"/>
      <protection locked="false" hidden="false"/>
    </xf>
    <xf numFmtId="164" fontId="30" fillId="17" borderId="0" xfId="0" applyFont="true" applyBorder="true" applyAlignment="true" applyProtection="true">
      <alignment horizontal="center" vertical="bottom" textRotation="0" wrapText="false" indent="0" shrinkToFit="false"/>
      <protection locked="true" hidden="true"/>
    </xf>
    <xf numFmtId="168" fontId="25" fillId="20" borderId="0" xfId="0" applyFont="true" applyBorder="false" applyAlignment="true" applyProtection="true">
      <alignment horizontal="left" vertical="bottom" textRotation="0" wrapText="false" indent="0" shrinkToFit="false"/>
      <protection locked="true" hidden="true"/>
    </xf>
    <xf numFmtId="164" fontId="25" fillId="20" borderId="0" xfId="0" applyFont="true" applyBorder="true" applyAlignment="true" applyProtection="true">
      <alignment horizontal="left" vertical="bottom" textRotation="0" wrapText="false" indent="0" shrinkToFit="false"/>
      <protection locked="true" hidden="true"/>
    </xf>
    <xf numFmtId="164" fontId="30" fillId="4" borderId="26" xfId="0" applyFont="true" applyBorder="true" applyAlignment="true" applyProtection="true">
      <alignment horizontal="center" vertical="bottom" textRotation="0" wrapText="false" indent="0" shrinkToFit="false"/>
      <protection locked="true" hidden="true"/>
    </xf>
    <xf numFmtId="164" fontId="30" fillId="4" borderId="0" xfId="0" applyFont="true" applyBorder="true" applyAlignment="true" applyProtection="true">
      <alignment horizontal="center" vertical="bottom" textRotation="0" wrapText="false" indent="0" shrinkToFit="false"/>
      <protection locked="true" hidden="true"/>
    </xf>
    <xf numFmtId="164" fontId="37" fillId="4" borderId="0" xfId="0" applyFont="true" applyBorder="true" applyAlignment="true" applyProtection="true">
      <alignment horizontal="center" vertical="bottom" textRotation="90" wrapText="false" indent="0" shrinkToFit="false"/>
      <protection locked="true" hidden="true"/>
    </xf>
    <xf numFmtId="164" fontId="33" fillId="4" borderId="0" xfId="0" applyFont="true" applyBorder="true" applyAlignment="true" applyProtection="true">
      <alignment horizontal="right" vertical="bottom" textRotation="0" wrapText="false" indent="0" shrinkToFit="false"/>
      <protection locked="true" hidden="true"/>
    </xf>
    <xf numFmtId="164" fontId="38" fillId="4" borderId="40" xfId="0" applyFont="true" applyBorder="true" applyAlignment="true" applyProtection="true">
      <alignment horizontal="left" vertical="top" textRotation="0" wrapText="false" indent="0" shrinkToFit="false"/>
      <protection locked="true" hidden="true"/>
    </xf>
    <xf numFmtId="164" fontId="39" fillId="4" borderId="22" xfId="0" applyFont="true" applyBorder="true" applyAlignment="true" applyProtection="true">
      <alignment horizontal="left" vertical="top" textRotation="0" wrapText="false" indent="0" shrinkToFit="false"/>
      <protection locked="true" hidden="true"/>
    </xf>
    <xf numFmtId="164" fontId="39" fillId="25" borderId="26" xfId="0" applyFont="true" applyBorder="true" applyAlignment="true" applyProtection="true">
      <alignment horizontal="left" vertical="top" textRotation="0" wrapText="false" indent="0" shrinkToFit="false"/>
      <protection locked="true" hidden="true"/>
    </xf>
    <xf numFmtId="164" fontId="25" fillId="22" borderId="10" xfId="0" applyFont="true" applyBorder="true" applyAlignment="true" applyProtection="true">
      <alignment horizontal="center" vertical="bottom" textRotation="0" wrapText="false" indent="0" shrinkToFit="false"/>
      <protection locked="true" hidden="true"/>
    </xf>
    <xf numFmtId="164" fontId="33" fillId="20" borderId="0" xfId="0" applyFont="true" applyBorder="false" applyAlignment="true" applyProtection="true">
      <alignment horizontal="left" vertical="bottom" textRotation="0" wrapText="false" indent="0" shrinkToFit="false"/>
      <protection locked="true" hidden="true"/>
    </xf>
    <xf numFmtId="164" fontId="33" fillId="20" borderId="0" xfId="0" applyFont="true" applyBorder="false" applyAlignment="true" applyProtection="true">
      <alignment horizontal="right" vertical="bottom" textRotation="0" wrapText="false" indent="0" shrinkToFit="false"/>
      <protection locked="true" hidden="true"/>
    </xf>
    <xf numFmtId="164" fontId="30" fillId="17" borderId="0" xfId="0" applyFont="true" applyBorder="false" applyAlignment="true" applyProtection="true">
      <alignment horizontal="center" vertical="bottom" textRotation="0" wrapText="false" indent="0" shrinkToFit="false"/>
      <protection locked="true" hidden="true"/>
    </xf>
    <xf numFmtId="164" fontId="40" fillId="4" borderId="41" xfId="0" applyFont="true" applyBorder="true" applyAlignment="true" applyProtection="true">
      <alignment horizontal="right" vertical="top" textRotation="0" wrapText="false" indent="0" shrinkToFit="false"/>
      <protection locked="true" hidden="true"/>
    </xf>
    <xf numFmtId="169" fontId="30" fillId="4" borderId="0" xfId="0" applyFont="true" applyBorder="true" applyAlignment="true" applyProtection="true">
      <alignment horizontal="left" vertical="top" textRotation="0" wrapText="false" indent="0" shrinkToFit="false"/>
      <protection locked="true" hidden="true"/>
    </xf>
    <xf numFmtId="169" fontId="30" fillId="25" borderId="26" xfId="0" applyFont="true" applyBorder="true" applyAlignment="true" applyProtection="true">
      <alignment horizontal="left" vertical="top" textRotation="0" wrapText="false" indent="0" shrinkToFit="false"/>
      <protection locked="true" hidden="true"/>
    </xf>
    <xf numFmtId="167" fontId="25" fillId="6" borderId="15" xfId="0" applyFont="true" applyBorder="true" applyAlignment="true" applyProtection="true">
      <alignment horizontal="center" vertical="bottom" textRotation="0" wrapText="false" indent="0" shrinkToFit="false"/>
      <protection locked="false" hidden="false"/>
    </xf>
    <xf numFmtId="167" fontId="25" fillId="6" borderId="21" xfId="0" applyFont="true" applyBorder="true" applyAlignment="true" applyProtection="true">
      <alignment horizontal="center" vertical="bottom" textRotation="0" wrapText="false" indent="0" shrinkToFit="false"/>
      <protection locked="false" hidden="false"/>
    </xf>
    <xf numFmtId="170" fontId="25" fillId="17" borderId="11" xfId="0" applyFont="true" applyBorder="true" applyAlignment="true" applyProtection="true">
      <alignment horizontal="center" vertical="bottom" textRotation="0" wrapText="false" indent="0" shrinkToFit="false"/>
      <protection locked="true" hidden="true"/>
    </xf>
    <xf numFmtId="167" fontId="41" fillId="20" borderId="11" xfId="0" applyFont="true" applyBorder="true" applyAlignment="true" applyProtection="true">
      <alignment horizontal="right" vertical="bottom" textRotation="0" wrapText="false" indent="0" shrinkToFit="false"/>
      <protection locked="true" hidden="true"/>
    </xf>
    <xf numFmtId="170" fontId="41" fillId="20" borderId="0" xfId="0" applyFont="true" applyBorder="true" applyAlignment="true" applyProtection="true">
      <alignment horizontal="right" vertical="bottom" textRotation="0" wrapText="false" indent="0" shrinkToFit="false"/>
      <protection locked="true" hidden="true"/>
    </xf>
    <xf numFmtId="164" fontId="25" fillId="17" borderId="11" xfId="0" applyFont="true" applyBorder="true" applyAlignment="true" applyProtection="true">
      <alignment horizontal="center" vertical="bottom" textRotation="0" wrapText="false" indent="0" shrinkToFit="false"/>
      <protection locked="true" hidden="true"/>
    </xf>
    <xf numFmtId="164" fontId="25" fillId="4" borderId="26" xfId="0" applyFont="true" applyBorder="true" applyAlignment="true" applyProtection="true">
      <alignment horizontal="center" vertical="bottom" textRotation="0" wrapText="false" indent="0" shrinkToFit="false"/>
      <protection locked="true" hidden="true"/>
    </xf>
    <xf numFmtId="164" fontId="25" fillId="4" borderId="0" xfId="0" applyFont="true" applyBorder="true" applyAlignment="true" applyProtection="true">
      <alignment horizontal="center" vertical="bottom" textRotation="0" wrapText="false" indent="0" shrinkToFit="false"/>
      <protection locked="true" hidden="true"/>
    </xf>
    <xf numFmtId="167" fontId="30" fillId="4" borderId="42" xfId="0" applyFont="true" applyBorder="true" applyAlignment="true" applyProtection="true">
      <alignment horizontal="left" vertical="bottom" textRotation="0" wrapText="false" indent="0" shrinkToFit="false"/>
      <protection locked="true" hidden="true"/>
    </xf>
    <xf numFmtId="164" fontId="0" fillId="15" borderId="43" xfId="0" applyFont="false" applyBorder="true" applyAlignment="false" applyProtection="true">
      <alignment horizontal="general" vertical="bottom" textRotation="0" wrapText="false" indent="0" shrinkToFit="false"/>
      <protection locked="true" hidden="true"/>
    </xf>
    <xf numFmtId="164" fontId="0" fillId="15" borderId="44" xfId="0" applyFont="false" applyBorder="true" applyAlignment="false" applyProtection="true">
      <alignment horizontal="general" vertical="bottom" textRotation="0" wrapText="false" indent="0" shrinkToFit="false"/>
      <protection locked="true" hidden="true"/>
    </xf>
    <xf numFmtId="164" fontId="42" fillId="22" borderId="27" xfId="0" applyFont="true" applyBorder="true" applyAlignment="false" applyProtection="true">
      <alignment horizontal="general" vertical="bottom" textRotation="0" wrapText="false" indent="0" shrinkToFit="false"/>
      <protection locked="true" hidden="true"/>
    </xf>
    <xf numFmtId="167" fontId="30" fillId="3" borderId="15" xfId="0" applyFont="true" applyBorder="true" applyAlignment="true" applyProtection="true">
      <alignment horizontal="center" vertical="bottom" textRotation="0" wrapText="false" indent="0" shrinkToFit="false"/>
      <protection locked="false" hidden="false"/>
    </xf>
    <xf numFmtId="167" fontId="30" fillId="3" borderId="21" xfId="0" applyFont="true" applyBorder="true" applyAlignment="true" applyProtection="true">
      <alignment horizontal="center" vertical="bottom" textRotation="0" wrapText="false" indent="0" shrinkToFit="false"/>
      <protection locked="false" hidden="false"/>
    </xf>
    <xf numFmtId="170" fontId="30" fillId="17" borderId="11" xfId="0" applyFont="true" applyBorder="true" applyAlignment="true" applyProtection="true">
      <alignment horizontal="center" vertical="bottom" textRotation="0" wrapText="false" indent="0" shrinkToFit="false"/>
      <protection locked="true" hidden="true"/>
    </xf>
    <xf numFmtId="164" fontId="30" fillId="17" borderId="11" xfId="0" applyFont="true" applyBorder="true" applyAlignment="true" applyProtection="true">
      <alignment horizontal="center" vertical="bottom" textRotation="0" wrapText="false" indent="0" shrinkToFit="false"/>
      <protection locked="true" hidden="true"/>
    </xf>
    <xf numFmtId="164" fontId="30" fillId="4" borderId="45" xfId="0" applyFont="true" applyBorder="true" applyAlignment="true" applyProtection="true">
      <alignment horizontal="center" vertical="bottom" textRotation="0" wrapText="false" indent="0" shrinkToFit="false"/>
      <protection locked="true" hidden="true"/>
    </xf>
    <xf numFmtId="167" fontId="29" fillId="4" borderId="11" xfId="0" applyFont="true" applyBorder="true" applyAlignment="true" applyProtection="true">
      <alignment horizontal="left" vertical="bottom" textRotation="0" wrapText="false" indent="0" shrinkToFit="false"/>
      <protection locked="true" hidden="true"/>
    </xf>
    <xf numFmtId="167" fontId="30" fillId="4" borderId="15" xfId="0" applyFont="true" applyBorder="true" applyAlignment="true" applyProtection="true">
      <alignment horizontal="center" vertical="bottom" textRotation="0" wrapText="false" indent="0" shrinkToFit="false"/>
      <protection locked="true" hidden="true"/>
    </xf>
    <xf numFmtId="164" fontId="40" fillId="4" borderId="0" xfId="0" applyFont="true" applyBorder="true" applyAlignment="true" applyProtection="true">
      <alignment horizontal="right" vertical="top" textRotation="0" wrapText="false" indent="0" shrinkToFit="false"/>
      <protection locked="true" hidden="true"/>
    </xf>
    <xf numFmtId="171" fontId="30" fillId="4" borderId="0" xfId="0" applyFont="true" applyBorder="true" applyAlignment="true" applyProtection="true">
      <alignment horizontal="left" vertical="top" textRotation="0" wrapText="false" indent="0" shrinkToFit="false"/>
      <protection locked="true" hidden="true"/>
    </xf>
    <xf numFmtId="171" fontId="30" fillId="25" borderId="26" xfId="0" applyFont="true" applyBorder="true" applyAlignment="true" applyProtection="true">
      <alignment horizontal="left" vertical="top" textRotation="0" wrapText="false" indent="0" shrinkToFit="false"/>
      <protection locked="true" hidden="true"/>
    </xf>
    <xf numFmtId="164" fontId="33" fillId="22" borderId="46" xfId="0" applyFont="true" applyBorder="true" applyAlignment="false" applyProtection="true">
      <alignment horizontal="general" vertical="bottom" textRotation="0" wrapText="false" indent="0" shrinkToFit="false"/>
      <protection locked="true" hidden="true"/>
    </xf>
    <xf numFmtId="167" fontId="30" fillId="3" borderId="47" xfId="0" applyFont="true" applyBorder="true" applyAlignment="true" applyProtection="true">
      <alignment horizontal="center" vertical="bottom" textRotation="0" wrapText="false" indent="0" shrinkToFit="false"/>
      <protection locked="false" hidden="false"/>
    </xf>
    <xf numFmtId="167" fontId="30" fillId="3" borderId="48" xfId="0" applyFont="true" applyBorder="true" applyAlignment="true" applyProtection="true">
      <alignment horizontal="center" vertical="bottom" textRotation="0" wrapText="false" indent="0" shrinkToFit="false"/>
      <protection locked="false" hidden="false"/>
    </xf>
    <xf numFmtId="170" fontId="30" fillId="17" borderId="0" xfId="0" applyFont="true" applyBorder="true" applyAlignment="true" applyProtection="true">
      <alignment horizontal="center" vertical="bottom" textRotation="0" wrapText="false" indent="0" shrinkToFit="false"/>
      <protection locked="true" hidden="true"/>
    </xf>
    <xf numFmtId="167" fontId="43" fillId="20" borderId="0" xfId="0" applyFont="true" applyBorder="false" applyAlignment="false" applyProtection="true">
      <alignment horizontal="general" vertical="bottom" textRotation="0" wrapText="false" indent="0" shrinkToFit="false"/>
      <protection locked="true" hidden="true"/>
    </xf>
    <xf numFmtId="170" fontId="43" fillId="20" borderId="0" xfId="0" applyFont="true" applyBorder="true" applyAlignment="false" applyProtection="true">
      <alignment horizontal="general" vertical="bottom" textRotation="0" wrapText="false" indent="0" shrinkToFit="false"/>
      <protection locked="true" hidden="true"/>
    </xf>
    <xf numFmtId="172" fontId="30" fillId="4" borderId="49" xfId="0" applyFont="true" applyBorder="true" applyAlignment="true" applyProtection="true">
      <alignment horizontal="center" vertical="bottom" textRotation="0" wrapText="false" indent="0" shrinkToFit="false"/>
      <protection locked="true" hidden="true"/>
    </xf>
    <xf numFmtId="171" fontId="30" fillId="4" borderId="0" xfId="0" applyFont="true" applyBorder="true" applyAlignment="true" applyProtection="true">
      <alignment horizontal="center" vertical="bottom" textRotation="0" wrapText="false" indent="0" shrinkToFit="false"/>
      <protection locked="true" hidden="true"/>
    </xf>
    <xf numFmtId="172" fontId="30" fillId="4" borderId="42" xfId="0" applyFont="true" applyBorder="true" applyAlignment="true" applyProtection="true">
      <alignment horizontal="left" vertical="bottom" textRotation="0" wrapText="false" indent="0" shrinkToFit="false"/>
      <protection locked="true" hidden="true"/>
    </xf>
    <xf numFmtId="164" fontId="33" fillId="22" borderId="50" xfId="0" applyFont="true" applyBorder="true" applyAlignment="false" applyProtection="true">
      <alignment horizontal="general" vertical="bottom" textRotation="0" wrapText="false" indent="0" shrinkToFit="false"/>
      <protection locked="true" hidden="true"/>
    </xf>
    <xf numFmtId="167" fontId="30" fillId="3" borderId="51" xfId="0" applyFont="true" applyBorder="true" applyAlignment="true" applyProtection="true">
      <alignment horizontal="center" vertical="bottom" textRotation="0" wrapText="false" indent="0" shrinkToFit="false"/>
      <protection locked="false" hidden="false"/>
    </xf>
    <xf numFmtId="167" fontId="30" fillId="3" borderId="52" xfId="0" applyFont="true" applyBorder="true" applyAlignment="true" applyProtection="true">
      <alignment horizontal="center" vertical="bottom" textRotation="0" wrapText="false" indent="0" shrinkToFit="false"/>
      <protection locked="false" hidden="false"/>
    </xf>
    <xf numFmtId="170" fontId="43" fillId="20" borderId="0" xfId="0" applyFont="true" applyBorder="false" applyAlignment="false" applyProtection="true">
      <alignment horizontal="general" vertical="bottom" textRotation="0" wrapText="false" indent="0" shrinkToFit="false"/>
      <protection locked="true" hidden="true"/>
    </xf>
    <xf numFmtId="172" fontId="30" fillId="4" borderId="26" xfId="0" applyFont="true" applyBorder="true" applyAlignment="true" applyProtection="true">
      <alignment horizontal="center" vertical="bottom" textRotation="0" wrapText="false" indent="0" shrinkToFit="false"/>
      <protection locked="true" hidden="true"/>
    </xf>
    <xf numFmtId="172" fontId="30" fillId="4" borderId="0" xfId="0" applyFont="true" applyBorder="true" applyAlignment="true" applyProtection="true">
      <alignment horizontal="left" vertical="bottom" textRotation="0" wrapText="false" indent="0" shrinkToFit="false"/>
      <protection locked="true" hidden="true"/>
    </xf>
    <xf numFmtId="164" fontId="38" fillId="4" borderId="10" xfId="0" applyFont="true" applyBorder="true" applyAlignment="true" applyProtection="true">
      <alignment horizontal="left" vertical="top" textRotation="0" wrapText="false" indent="0" shrinkToFit="false"/>
      <protection locked="true" hidden="true"/>
    </xf>
    <xf numFmtId="164" fontId="29" fillId="4" borderId="11" xfId="0" applyFont="true" applyBorder="true" applyAlignment="true" applyProtection="true">
      <alignment horizontal="left" vertical="top" textRotation="0" wrapText="false" indent="0" shrinkToFit="false"/>
      <protection locked="true" hidden="true"/>
    </xf>
    <xf numFmtId="164" fontId="39" fillId="4" borderId="11" xfId="0" applyFont="true" applyBorder="true" applyAlignment="true" applyProtection="true">
      <alignment horizontal="left" vertical="top" textRotation="0" wrapText="false" indent="0" shrinkToFit="false"/>
      <protection locked="true" hidden="true"/>
    </xf>
    <xf numFmtId="164" fontId="29" fillId="25" borderId="26" xfId="0" applyFont="true" applyBorder="true" applyAlignment="true" applyProtection="true">
      <alignment horizontal="left" vertical="top" textRotation="0" wrapText="false" indent="0" shrinkToFit="false"/>
      <protection locked="true" hidden="true"/>
    </xf>
    <xf numFmtId="164" fontId="33" fillId="4" borderId="53" xfId="0" applyFont="true" applyBorder="true" applyAlignment="true" applyProtection="true">
      <alignment horizontal="right" vertical="top" textRotation="0" wrapText="false" indent="0" shrinkToFit="false"/>
      <protection locked="true" hidden="true"/>
    </xf>
    <xf numFmtId="171" fontId="30" fillId="4" borderId="18" xfId="0" applyFont="true" applyBorder="true" applyAlignment="true" applyProtection="true">
      <alignment horizontal="right" vertical="top" textRotation="0" wrapText="false" indent="0" shrinkToFit="false"/>
      <protection locked="true" hidden="true"/>
    </xf>
    <xf numFmtId="164" fontId="30" fillId="4" borderId="18" xfId="0" applyFont="true" applyBorder="true" applyAlignment="true" applyProtection="true">
      <alignment horizontal="left" vertical="top" textRotation="0" wrapText="false" indent="0" shrinkToFit="false"/>
      <protection locked="true" hidden="true"/>
    </xf>
    <xf numFmtId="171" fontId="30" fillId="25" borderId="26" xfId="0" applyFont="true" applyBorder="true" applyAlignment="true" applyProtection="true">
      <alignment horizontal="right" vertical="top" textRotation="0" wrapText="false" indent="0" shrinkToFit="false"/>
      <protection locked="true" hidden="true"/>
    </xf>
    <xf numFmtId="164" fontId="33" fillId="4" borderId="54" xfId="0" applyFont="true" applyBorder="true" applyAlignment="true" applyProtection="true">
      <alignment horizontal="right" vertical="top" textRotation="0" wrapText="false" indent="0" shrinkToFit="false"/>
      <protection locked="true" hidden="true"/>
    </xf>
    <xf numFmtId="171" fontId="30" fillId="4" borderId="55" xfId="0" applyFont="true" applyBorder="true" applyAlignment="true" applyProtection="true">
      <alignment horizontal="right" vertical="top" textRotation="0" wrapText="false" indent="0" shrinkToFit="false"/>
      <protection locked="true" hidden="true"/>
    </xf>
    <xf numFmtId="164" fontId="30" fillId="4" borderId="55" xfId="0" applyFont="true" applyBorder="true" applyAlignment="true" applyProtection="true">
      <alignment horizontal="left" vertical="top" textRotation="0" wrapText="false" indent="0" shrinkToFit="false"/>
      <protection locked="true" hidden="true"/>
    </xf>
    <xf numFmtId="164" fontId="33" fillId="22" borderId="56" xfId="0" applyFont="true" applyBorder="true" applyAlignment="false" applyProtection="true">
      <alignment horizontal="general" vertical="bottom" textRotation="0" wrapText="false" indent="0" shrinkToFit="false"/>
      <protection locked="true" hidden="true"/>
    </xf>
    <xf numFmtId="167" fontId="30" fillId="3" borderId="57" xfId="0" applyFont="true" applyBorder="true" applyAlignment="true" applyProtection="true">
      <alignment horizontal="center" vertical="bottom" textRotation="0" wrapText="false" indent="0" shrinkToFit="false"/>
      <protection locked="false" hidden="false"/>
    </xf>
    <xf numFmtId="167" fontId="30" fillId="3" borderId="58" xfId="0" applyFont="true" applyBorder="true" applyAlignment="true" applyProtection="true">
      <alignment horizontal="center" vertical="bottom" textRotation="0" wrapText="false" indent="0" shrinkToFit="false"/>
      <protection locked="false" hidden="false"/>
    </xf>
    <xf numFmtId="164" fontId="33" fillId="4" borderId="41" xfId="0" applyFont="true" applyBorder="true" applyAlignment="true" applyProtection="true">
      <alignment horizontal="right" vertical="top" textRotation="0" wrapText="false" indent="0" shrinkToFit="false"/>
      <protection locked="true" hidden="true"/>
    </xf>
    <xf numFmtId="171" fontId="30" fillId="4" borderId="0" xfId="0" applyFont="true" applyBorder="true" applyAlignment="true" applyProtection="true">
      <alignment horizontal="right" vertical="top" textRotation="0" wrapText="false" indent="0" shrinkToFit="false"/>
      <protection locked="true" hidden="true"/>
    </xf>
    <xf numFmtId="164" fontId="30" fillId="4" borderId="0" xfId="0" applyFont="true" applyBorder="true" applyAlignment="true" applyProtection="true">
      <alignment horizontal="left" vertical="top" textRotation="0" wrapText="false" indent="0" shrinkToFit="false"/>
      <protection locked="true" hidden="true"/>
    </xf>
    <xf numFmtId="170" fontId="30" fillId="17" borderId="18" xfId="0" applyFont="true" applyBorder="true" applyAlignment="true" applyProtection="true">
      <alignment horizontal="center" vertical="bottom" textRotation="0" wrapText="false" indent="0" shrinkToFit="false"/>
      <protection locked="true" hidden="true"/>
    </xf>
    <xf numFmtId="167" fontId="43" fillId="20" borderId="18" xfId="0" applyFont="true" applyBorder="true" applyAlignment="false" applyProtection="true">
      <alignment horizontal="general" vertical="bottom" textRotation="0" wrapText="false" indent="0" shrinkToFit="false"/>
      <protection locked="true" hidden="true"/>
    </xf>
    <xf numFmtId="172" fontId="30" fillId="4" borderId="0" xfId="0" applyFont="true" applyBorder="true" applyAlignment="true" applyProtection="true">
      <alignment horizontal="center" vertical="bottom" textRotation="0" wrapText="false" indent="0" shrinkToFit="false"/>
      <protection locked="true" hidden="true"/>
    </xf>
    <xf numFmtId="164" fontId="0" fillId="20" borderId="0" xfId="0" applyFont="false" applyBorder="false" applyAlignment="false" applyProtection="true">
      <alignment horizontal="general" vertical="bottom" textRotation="0" wrapText="false" indent="0" shrinkToFit="false"/>
      <protection locked="true" hidden="true"/>
    </xf>
    <xf numFmtId="164" fontId="33" fillId="22" borderId="59" xfId="0" applyFont="true" applyBorder="true" applyAlignment="false" applyProtection="true">
      <alignment horizontal="general" vertical="bottom" textRotation="0" wrapText="false" indent="0" shrinkToFit="false"/>
      <protection locked="true" hidden="true"/>
    </xf>
    <xf numFmtId="167" fontId="30" fillId="3" borderId="60" xfId="0" applyFont="true" applyBorder="true" applyAlignment="true" applyProtection="true">
      <alignment horizontal="center" vertical="bottom" textRotation="0" wrapText="false" indent="0" shrinkToFit="false"/>
      <protection locked="false" hidden="false"/>
    </xf>
    <xf numFmtId="167" fontId="30" fillId="3" borderId="61" xfId="0" applyFont="true" applyBorder="true" applyAlignment="true" applyProtection="true">
      <alignment horizontal="center" vertical="bottom" textRotation="0" wrapText="false" indent="0" shrinkToFit="false"/>
      <protection locked="false" hidden="false"/>
    </xf>
    <xf numFmtId="170" fontId="29" fillId="17" borderId="0" xfId="0" applyFont="true" applyBorder="true" applyAlignment="true" applyProtection="true">
      <alignment horizontal="center" vertical="bottom" textRotation="0" wrapText="false" indent="0" shrinkToFit="false"/>
      <protection locked="true" hidden="true"/>
    </xf>
    <xf numFmtId="164" fontId="0" fillId="4" borderId="0" xfId="0" applyFont="false" applyBorder="false" applyAlignment="false" applyProtection="true">
      <alignment horizontal="general" vertical="bottom" textRotation="0" wrapText="false" indent="0" shrinkToFit="false"/>
      <protection locked="true" hidden="true"/>
    </xf>
    <xf numFmtId="164" fontId="0" fillId="25" borderId="26" xfId="0" applyFont="false" applyBorder="true" applyAlignment="false" applyProtection="true">
      <alignment horizontal="general" vertical="bottom" textRotation="0" wrapText="false" indent="0" shrinkToFit="false"/>
      <protection locked="true" hidden="true"/>
    </xf>
    <xf numFmtId="164" fontId="44" fillId="0" borderId="0" xfId="0" applyFont="true" applyBorder="false" applyAlignment="false" applyProtection="true">
      <alignment horizontal="general" vertical="bottom" textRotation="0" wrapText="false" indent="0" shrinkToFit="false"/>
      <protection locked="true" hidden="true"/>
    </xf>
    <xf numFmtId="168" fontId="44" fillId="20" borderId="10" xfId="0" applyFont="true" applyBorder="true" applyAlignment="false" applyProtection="true">
      <alignment horizontal="general" vertical="bottom" textRotation="0" wrapText="false" indent="0" shrinkToFit="false"/>
      <protection locked="true" hidden="true"/>
    </xf>
    <xf numFmtId="164" fontId="44" fillId="20" borderId="11" xfId="0" applyFont="true" applyBorder="true" applyAlignment="true" applyProtection="true">
      <alignment horizontal="center" vertical="bottom" textRotation="0" wrapText="false" indent="0" shrinkToFit="false"/>
      <protection locked="true" hidden="true"/>
    </xf>
    <xf numFmtId="164" fontId="33" fillId="20" borderId="15" xfId="0" applyFont="true" applyBorder="true" applyAlignment="false" applyProtection="true">
      <alignment horizontal="general" vertical="bottom" textRotation="0" wrapText="false" indent="0" shrinkToFit="false"/>
      <protection locked="true" hidden="true"/>
    </xf>
    <xf numFmtId="168" fontId="45" fillId="17" borderId="35" xfId="0" applyFont="true" applyBorder="true" applyAlignment="false" applyProtection="true">
      <alignment horizontal="general" vertical="bottom" textRotation="0" wrapText="false" indent="0" shrinkToFit="false"/>
      <protection locked="true" hidden="true"/>
    </xf>
    <xf numFmtId="168" fontId="36" fillId="17" borderId="35" xfId="0" applyFont="true" applyBorder="true" applyAlignment="false" applyProtection="true">
      <alignment horizontal="general" vertical="bottom" textRotation="0" wrapText="false" indent="0" shrinkToFit="false"/>
      <protection locked="true" hidden="true"/>
    </xf>
    <xf numFmtId="167" fontId="27" fillId="22" borderId="11" xfId="0" applyFont="true" applyBorder="true" applyAlignment="true" applyProtection="true">
      <alignment horizontal="right" vertical="bottom" textRotation="0" wrapText="false" indent="0" shrinkToFit="false"/>
      <protection locked="true" hidden="true"/>
    </xf>
    <xf numFmtId="164" fontId="33" fillId="17" borderId="0" xfId="0" applyFont="true" applyBorder="true" applyAlignment="false" applyProtection="true">
      <alignment horizontal="general" vertical="bottom" textRotation="0" wrapText="false" indent="0" shrinkToFit="false"/>
      <protection locked="true" hidden="true"/>
    </xf>
    <xf numFmtId="164" fontId="0" fillId="4" borderId="35" xfId="0" applyFont="false" applyBorder="true" applyAlignment="false" applyProtection="true">
      <alignment horizontal="general" vertical="bottom" textRotation="0" wrapText="false" indent="0" shrinkToFit="false"/>
      <protection locked="true" hidden="true"/>
    </xf>
    <xf numFmtId="164" fontId="33" fillId="4" borderId="36" xfId="0" applyFont="true" applyBorder="true" applyAlignment="false" applyProtection="true">
      <alignment horizontal="general" vertical="bottom" textRotation="0" wrapText="false" indent="0" shrinkToFit="false"/>
      <protection locked="true" hidden="true"/>
    </xf>
    <xf numFmtId="167" fontId="25" fillId="4" borderId="36" xfId="0" applyFont="true" applyBorder="true" applyAlignment="true" applyProtection="true">
      <alignment horizontal="left" vertical="bottom" textRotation="0" wrapText="false" indent="0" shrinkToFit="false"/>
      <protection locked="true" hidden="true"/>
    </xf>
    <xf numFmtId="167" fontId="25" fillId="4" borderId="62" xfId="0" applyFont="true" applyBorder="true" applyAlignment="true" applyProtection="true">
      <alignment horizontal="left" vertical="bottom" textRotation="0" wrapText="false" indent="0" shrinkToFit="false"/>
      <protection locked="true" hidden="true"/>
    </xf>
    <xf numFmtId="164" fontId="0" fillId="4" borderId="63" xfId="0" applyFont="false" applyBorder="true" applyAlignment="false" applyProtection="true">
      <alignment horizontal="general" vertical="bottom" textRotation="0" wrapText="false" indent="0" shrinkToFit="false"/>
      <protection locked="true" hidden="true"/>
    </xf>
    <xf numFmtId="164" fontId="30" fillId="4" borderId="36" xfId="0" applyFont="true" applyBorder="true" applyAlignment="true" applyProtection="true">
      <alignment horizontal="left" vertical="top" textRotation="0" wrapText="false" indent="0" shrinkToFit="false"/>
      <protection locked="true" hidden="true"/>
    </xf>
    <xf numFmtId="164" fontId="25" fillId="22" borderId="27" xfId="0" applyFont="true" applyBorder="true" applyAlignment="false" applyProtection="true">
      <alignment horizontal="general" vertical="bottom" textRotation="0" wrapText="false" indent="0" shrinkToFit="false"/>
      <protection locked="true" hidden="true"/>
    </xf>
    <xf numFmtId="168" fontId="30" fillId="22" borderId="15" xfId="0" applyFont="true" applyBorder="true" applyAlignment="true" applyProtection="true">
      <alignment horizontal="center" vertical="bottom" textRotation="0" wrapText="false" indent="0" shrinkToFit="false"/>
      <protection locked="true" hidden="true"/>
    </xf>
    <xf numFmtId="167" fontId="30" fillId="22" borderId="21" xfId="0" applyFont="true" applyBorder="true" applyAlignment="true" applyProtection="true">
      <alignment horizontal="center" vertical="bottom" textRotation="0" wrapText="false" indent="0" shrinkToFit="false"/>
      <protection locked="true" hidden="true"/>
    </xf>
    <xf numFmtId="164" fontId="30" fillId="17" borderId="53" xfId="0" applyFont="true" applyBorder="true" applyAlignment="true" applyProtection="true">
      <alignment horizontal="center" vertical="bottom" textRotation="0" wrapText="false" indent="0" shrinkToFit="false"/>
      <protection locked="true" hidden="true"/>
    </xf>
    <xf numFmtId="164" fontId="29" fillId="17" borderId="53" xfId="0" applyFont="true" applyBorder="true" applyAlignment="true" applyProtection="true">
      <alignment horizontal="center" vertical="bottom" textRotation="0" wrapText="false" indent="0" shrinkToFit="false"/>
      <protection locked="true" hidden="true"/>
    </xf>
    <xf numFmtId="167" fontId="43" fillId="22" borderId="0" xfId="0" applyFont="true" applyBorder="false" applyAlignment="false" applyProtection="true">
      <alignment horizontal="general" vertical="bottom" textRotation="0" wrapText="false" indent="0" shrinkToFit="false"/>
      <protection locked="true" hidden="true"/>
    </xf>
    <xf numFmtId="172" fontId="25" fillId="22" borderId="53" xfId="0" applyFont="true" applyBorder="true" applyAlignment="true" applyProtection="true">
      <alignment horizontal="center" vertical="bottom" textRotation="0" wrapText="false" indent="0" shrinkToFit="false"/>
      <protection locked="true" hidden="true"/>
    </xf>
    <xf numFmtId="172" fontId="25" fillId="17" borderId="18" xfId="0" applyFont="true" applyBorder="true" applyAlignment="true" applyProtection="true">
      <alignment horizontal="center" vertical="bottom" textRotation="0" wrapText="false" indent="0" shrinkToFit="false"/>
      <protection locked="true" hidden="true"/>
    </xf>
    <xf numFmtId="172" fontId="25" fillId="22" borderId="0" xfId="0" applyFont="true" applyBorder="true" applyAlignment="true" applyProtection="true">
      <alignment horizontal="center" vertical="bottom" textRotation="0" wrapText="false" indent="0" shrinkToFit="false"/>
      <protection locked="true" hidden="true"/>
    </xf>
    <xf numFmtId="164" fontId="25" fillId="22" borderId="18" xfId="0" applyFont="true" applyBorder="true" applyAlignment="true" applyProtection="true">
      <alignment horizontal="center" vertical="bottom" textRotation="0" wrapText="false" indent="0" shrinkToFit="false"/>
      <protection locked="true" hidden="true"/>
    </xf>
    <xf numFmtId="164" fontId="33" fillId="22" borderId="0" xfId="0" applyFont="true" applyBorder="true" applyAlignment="true" applyProtection="true">
      <alignment horizontal="left" vertical="bottom" textRotation="0" wrapText="false" indent="0" shrinkToFit="false"/>
      <protection locked="true" hidden="true"/>
    </xf>
    <xf numFmtId="164" fontId="33" fillId="22" borderId="25" xfId="0" applyFont="true" applyBorder="true" applyAlignment="true" applyProtection="true">
      <alignment horizontal="left" vertical="bottom" textRotation="0" wrapText="false" indent="0" shrinkToFit="false"/>
      <protection locked="true" hidden="true"/>
    </xf>
    <xf numFmtId="164" fontId="33" fillId="25" borderId="41" xfId="0" applyFont="true" applyBorder="true" applyAlignment="true" applyProtection="true">
      <alignment horizontal="left" vertical="bottom" textRotation="0" wrapText="false" indent="0" shrinkToFit="false"/>
      <protection locked="true" hidden="true"/>
    </xf>
    <xf numFmtId="164" fontId="29" fillId="17" borderId="0" xfId="0" applyFont="true" applyBorder="false" applyAlignment="true" applyProtection="true">
      <alignment horizontal="left" vertical="bottom" textRotation="0" wrapText="false" indent="0" shrinkToFit="false"/>
      <protection locked="true" hidden="true"/>
    </xf>
    <xf numFmtId="164" fontId="33" fillId="22" borderId="27" xfId="0" applyFont="true" applyBorder="true" applyAlignment="true" applyProtection="true">
      <alignment horizontal="right" vertical="bottom" textRotation="0" wrapText="false" indent="0" shrinkToFit="false"/>
      <protection locked="true" hidden="true"/>
    </xf>
    <xf numFmtId="167" fontId="30" fillId="22" borderId="15" xfId="0" applyFont="true" applyBorder="true" applyAlignment="true" applyProtection="true">
      <alignment horizontal="center" vertical="bottom" textRotation="0" wrapText="false" indent="0" shrinkToFit="false"/>
      <protection locked="true" hidden="true"/>
    </xf>
    <xf numFmtId="170" fontId="36" fillId="17" borderId="0" xfId="0" applyFont="true" applyBorder="true" applyAlignment="true" applyProtection="true">
      <alignment horizontal="left" vertical="bottom" textRotation="0" wrapText="false" indent="0" shrinkToFit="false"/>
      <protection locked="true" hidden="true"/>
    </xf>
    <xf numFmtId="167" fontId="25" fillId="22" borderId="34" xfId="0" applyFont="true" applyBorder="true" applyAlignment="true" applyProtection="true">
      <alignment horizontal="center" vertical="bottom" textRotation="0" wrapText="false" indent="0" shrinkToFit="false"/>
      <protection locked="true" hidden="true"/>
    </xf>
    <xf numFmtId="170" fontId="44" fillId="22" borderId="0" xfId="0" applyFont="true" applyBorder="true" applyAlignment="true" applyProtection="true">
      <alignment horizontal="left" vertical="bottom" textRotation="0" wrapText="false" indent="0" shrinkToFit="false"/>
      <protection locked="true" hidden="true"/>
    </xf>
    <xf numFmtId="170" fontId="30" fillId="22" borderId="0" xfId="0" applyFont="true" applyBorder="true" applyAlignment="true" applyProtection="true">
      <alignment horizontal="center" vertical="bottom" textRotation="0" wrapText="false" indent="0" shrinkToFit="false"/>
      <protection locked="true" hidden="true"/>
    </xf>
    <xf numFmtId="170" fontId="25" fillId="22" borderId="0" xfId="0" applyFont="true" applyBorder="true" applyAlignment="true" applyProtection="true">
      <alignment horizontal="center" vertical="bottom" textRotation="0" wrapText="false" indent="0" shrinkToFit="false"/>
      <protection locked="true" hidden="true"/>
    </xf>
    <xf numFmtId="164" fontId="46" fillId="22" borderId="0" xfId="0" applyFont="true" applyBorder="true" applyAlignment="false" applyProtection="true">
      <alignment horizontal="general" vertical="bottom" textRotation="0" wrapText="false" indent="0" shrinkToFit="false"/>
      <protection locked="true" hidden="true"/>
    </xf>
    <xf numFmtId="164" fontId="46" fillId="22" borderId="22" xfId="0" applyFont="true" applyBorder="true" applyAlignment="false" applyProtection="true">
      <alignment horizontal="general" vertical="bottom" textRotation="0" wrapText="false" indent="0" shrinkToFit="false"/>
      <protection locked="true" hidden="true"/>
    </xf>
    <xf numFmtId="164" fontId="46" fillId="25" borderId="40" xfId="0" applyFont="true" applyBorder="true" applyAlignment="false" applyProtection="true">
      <alignment horizontal="general" vertical="bottom" textRotation="0" wrapText="false" indent="0" shrinkToFit="false"/>
      <protection locked="true" hidden="true"/>
    </xf>
    <xf numFmtId="164" fontId="29" fillId="17" borderId="0" xfId="0" applyFont="true" applyBorder="false" applyAlignment="false" applyProtection="true">
      <alignment horizontal="general" vertical="bottom" textRotation="0" wrapText="false" indent="0" shrinkToFit="false"/>
      <protection locked="true" hidden="true"/>
    </xf>
    <xf numFmtId="164" fontId="36" fillId="22" borderId="27" xfId="0" applyFont="true" applyBorder="true" applyAlignment="true" applyProtection="true">
      <alignment horizontal="center" vertical="bottom" textRotation="0" wrapText="false" indent="0" shrinkToFit="false"/>
      <protection locked="true" hidden="true"/>
    </xf>
    <xf numFmtId="170" fontId="36" fillId="22" borderId="64" xfId="0" applyFont="true" applyBorder="true" applyAlignment="true" applyProtection="true">
      <alignment horizontal="center" vertical="bottom" textRotation="0" wrapText="false" indent="0" shrinkToFit="false"/>
      <protection locked="true" hidden="true"/>
    </xf>
    <xf numFmtId="170" fontId="30" fillId="22" borderId="64" xfId="0" applyFont="true" applyBorder="true" applyAlignment="true" applyProtection="true">
      <alignment horizontal="center" vertical="bottom" textRotation="0" wrapText="false" indent="0" shrinkToFit="false"/>
      <protection locked="true" hidden="true"/>
    </xf>
    <xf numFmtId="170" fontId="30" fillId="22" borderId="18" xfId="0" applyFont="true" applyBorder="true" applyAlignment="true" applyProtection="true">
      <alignment horizontal="center" vertical="bottom" textRotation="0" wrapText="false" indent="0" shrinkToFit="false"/>
      <protection locked="true" hidden="true"/>
    </xf>
    <xf numFmtId="170" fontId="30" fillId="22" borderId="53" xfId="0" applyFont="true" applyBorder="true" applyAlignment="true" applyProtection="true">
      <alignment horizontal="center" vertical="bottom" textRotation="0" wrapText="false" indent="0" shrinkToFit="false"/>
      <protection locked="true" hidden="true"/>
    </xf>
    <xf numFmtId="170" fontId="38" fillId="22" borderId="11" xfId="0" applyFont="true" applyBorder="true" applyAlignment="true" applyProtection="true">
      <alignment horizontal="center" vertical="bottom" textRotation="0" wrapText="false" indent="0" shrinkToFit="false"/>
      <protection locked="true" hidden="true"/>
    </xf>
    <xf numFmtId="164" fontId="30" fillId="22" borderId="15" xfId="0" applyFont="true" applyBorder="true" applyAlignment="true" applyProtection="true">
      <alignment horizontal="center" vertical="bottom" textRotation="0" wrapText="false" indent="0" shrinkToFit="false"/>
      <protection locked="true" hidden="true"/>
    </xf>
    <xf numFmtId="164" fontId="30" fillId="22" borderId="34" xfId="0" applyFont="true" applyBorder="true" applyAlignment="true" applyProtection="true">
      <alignment horizontal="center" vertical="bottom" textRotation="0" wrapText="false" indent="0" shrinkToFit="false"/>
      <protection locked="true" hidden="true"/>
    </xf>
    <xf numFmtId="164" fontId="27" fillId="17" borderId="53" xfId="0" applyFont="true" applyBorder="true" applyAlignment="false" applyProtection="true">
      <alignment horizontal="general" vertical="bottom" textRotation="0" wrapText="false" indent="0" shrinkToFit="false"/>
      <protection locked="true" hidden="true"/>
    </xf>
    <xf numFmtId="164" fontId="27" fillId="17" borderId="18" xfId="0" applyFont="true" applyBorder="true" applyAlignment="false" applyProtection="true">
      <alignment horizontal="general" vertical="bottom" textRotation="0" wrapText="false" indent="0" shrinkToFit="false"/>
      <protection locked="true" hidden="true"/>
    </xf>
    <xf numFmtId="164" fontId="27" fillId="17" borderId="0" xfId="0" applyFont="true" applyBorder="true" applyAlignment="true" applyProtection="true">
      <alignment horizontal="center" vertical="bottom" textRotation="0" wrapText="false" indent="0" shrinkToFit="false"/>
      <protection locked="true" hidden="true"/>
    </xf>
    <xf numFmtId="164" fontId="27" fillId="17" borderId="18" xfId="0" applyFont="true" applyBorder="true" applyAlignment="true" applyProtection="true">
      <alignment horizontal="center" vertical="bottom" textRotation="0" wrapText="false" indent="0" shrinkToFit="false"/>
      <protection locked="true" hidden="true"/>
    </xf>
    <xf numFmtId="164" fontId="27" fillId="17" borderId="65" xfId="0" applyFont="true" applyBorder="true" applyAlignment="true" applyProtection="true">
      <alignment horizontal="center" vertical="bottom" textRotation="0" wrapText="false" indent="0" shrinkToFit="false"/>
      <protection locked="true" hidden="true"/>
    </xf>
    <xf numFmtId="164" fontId="0" fillId="22" borderId="21" xfId="0" applyFont="true" applyBorder="true" applyAlignment="true" applyProtection="true">
      <alignment horizontal="center" vertical="bottom" textRotation="0" wrapText="false" indent="0" shrinkToFit="false"/>
      <protection locked="true" hidden="true"/>
    </xf>
    <xf numFmtId="164" fontId="30" fillId="22" borderId="21" xfId="0" applyFont="true" applyBorder="true" applyAlignment="true" applyProtection="true">
      <alignment horizontal="center" vertical="bottom" textRotation="0" wrapText="false" indent="0" shrinkToFit="false"/>
      <protection locked="true" hidden="true"/>
    </xf>
    <xf numFmtId="164" fontId="30" fillId="6" borderId="66" xfId="0" applyFont="true" applyBorder="true" applyAlignment="true" applyProtection="true">
      <alignment horizontal="general" vertical="bottom" textRotation="0" wrapText="false" indent="0" shrinkToFit="false"/>
      <protection locked="false" hidden="false"/>
    </xf>
    <xf numFmtId="167" fontId="30" fillId="6" borderId="64" xfId="0" applyFont="true" applyBorder="true" applyAlignment="true" applyProtection="true">
      <alignment horizontal="general" vertical="bottom" textRotation="0" wrapText="false" indent="0" shrinkToFit="false"/>
      <protection locked="false" hidden="false"/>
    </xf>
    <xf numFmtId="167" fontId="30" fillId="6" borderId="48" xfId="0" applyFont="true" applyBorder="true" applyAlignment="true" applyProtection="true">
      <alignment horizontal="general" vertical="bottom" textRotation="0" wrapText="false" indent="0" shrinkToFit="false"/>
      <protection locked="false" hidden="false"/>
    </xf>
    <xf numFmtId="168" fontId="30" fillId="17" borderId="48" xfId="0" applyFont="true" applyBorder="true" applyAlignment="true" applyProtection="true">
      <alignment horizontal="general" vertical="bottom" textRotation="0" wrapText="false" indent="0" shrinkToFit="false"/>
      <protection locked="true" hidden="true"/>
    </xf>
    <xf numFmtId="168" fontId="30" fillId="22" borderId="67" xfId="0" applyFont="true" applyBorder="true" applyAlignment="true" applyProtection="true">
      <alignment horizontal="general" vertical="bottom" textRotation="0" wrapText="false" indent="0" shrinkToFit="false"/>
      <protection locked="true" hidden="true"/>
    </xf>
    <xf numFmtId="168" fontId="43" fillId="20" borderId="67" xfId="0" applyFont="true" applyBorder="true" applyAlignment="true" applyProtection="true">
      <alignment horizontal="general" vertical="bottom" textRotation="0" wrapText="false" indent="0" shrinkToFit="false"/>
      <protection locked="true" hidden="true"/>
    </xf>
    <xf numFmtId="172" fontId="47" fillId="17" borderId="68" xfId="0" applyFont="true" applyBorder="true" applyAlignment="true" applyProtection="true">
      <alignment horizontal="center" vertical="bottom" textRotation="0" wrapText="false" indent="0" shrinkToFit="false"/>
      <protection locked="true" hidden="true"/>
    </xf>
    <xf numFmtId="172" fontId="27" fillId="22" borderId="68" xfId="0" applyFont="true" applyBorder="true" applyAlignment="true" applyProtection="true">
      <alignment horizontal="center" vertical="bottom" textRotation="0" wrapText="false" indent="0" shrinkToFit="false"/>
      <protection locked="true" hidden="true"/>
    </xf>
    <xf numFmtId="172" fontId="27" fillId="22" borderId="55" xfId="0" applyFont="true" applyBorder="true" applyAlignment="true" applyProtection="true">
      <alignment horizontal="center" vertical="bottom" textRotation="0" wrapText="false" indent="0" shrinkToFit="false"/>
      <protection locked="true" hidden="true"/>
    </xf>
    <xf numFmtId="168" fontId="0" fillId="20" borderId="69" xfId="0" applyFont="false" applyBorder="true" applyAlignment="true" applyProtection="false">
      <alignment horizontal="general" vertical="bottom" textRotation="0" wrapText="false" indent="0" shrinkToFit="false"/>
      <protection locked="true" hidden="false"/>
    </xf>
    <xf numFmtId="164" fontId="30" fillId="20" borderId="68" xfId="0" applyFont="true" applyBorder="true" applyAlignment="true" applyProtection="true">
      <alignment horizontal="left" vertical="bottom" textRotation="0" wrapText="false" indent="0" shrinkToFit="false"/>
      <protection locked="true" hidden="true"/>
    </xf>
    <xf numFmtId="168" fontId="36" fillId="20" borderId="70" xfId="0" applyFont="true" applyBorder="true" applyAlignment="true" applyProtection="true">
      <alignment horizontal="right" vertical="bottom" textRotation="0" wrapText="false" indent="0" shrinkToFit="false"/>
      <protection locked="true" hidden="true"/>
    </xf>
    <xf numFmtId="168" fontId="0" fillId="17" borderId="41" xfId="0" applyFont="false" applyBorder="true" applyAlignment="false" applyProtection="true">
      <alignment horizontal="general" vertical="bottom" textRotation="0" wrapText="false" indent="0" shrinkToFit="false"/>
      <protection locked="true" hidden="true"/>
    </xf>
    <xf numFmtId="168" fontId="0" fillId="17" borderId="0" xfId="0" applyFont="false" applyBorder="true" applyAlignment="false" applyProtection="true">
      <alignment horizontal="general" vertical="bottom" textRotation="0" wrapText="false" indent="0" shrinkToFit="false"/>
      <protection locked="true" hidden="true"/>
    </xf>
    <xf numFmtId="164" fontId="36" fillId="17" borderId="0" xfId="0" applyFont="true" applyBorder="false" applyAlignment="false" applyProtection="true">
      <alignment horizontal="general" vertical="bottom" textRotation="0" wrapText="false" indent="0" shrinkToFit="false"/>
      <protection locked="true" hidden="true"/>
    </xf>
    <xf numFmtId="164" fontId="46" fillId="0" borderId="0" xfId="0" applyFont="true" applyBorder="false" applyAlignment="false" applyProtection="true">
      <alignment horizontal="general" vertical="bottom" textRotation="0" wrapText="false" indent="0" shrinkToFit="false"/>
      <protection locked="true" hidden="true"/>
    </xf>
    <xf numFmtId="168" fontId="0" fillId="17" borderId="0" xfId="0" applyFont="false" applyBorder="true" applyAlignment="false" applyProtection="true">
      <alignment horizontal="general" vertical="bottom" textRotation="0" wrapText="false" indent="0" shrinkToFit="false"/>
      <protection locked="true" hidden="true"/>
    </xf>
    <xf numFmtId="164" fontId="0" fillId="6" borderId="21" xfId="0" applyFont="false" applyBorder="true" applyAlignment="true" applyProtection="true">
      <alignment horizontal="center" vertical="bottom" textRotation="0" wrapText="false" indent="0" shrinkToFit="false"/>
      <protection locked="false" hidden="false"/>
    </xf>
    <xf numFmtId="164" fontId="33" fillId="6" borderId="21" xfId="0" applyFont="true" applyBorder="true" applyAlignment="false" applyProtection="true">
      <alignment horizontal="general" vertical="bottom" textRotation="0" wrapText="false" indent="0" shrinkToFit="false"/>
      <protection locked="false" hidden="false"/>
    </xf>
    <xf numFmtId="164" fontId="30" fillId="6" borderId="50" xfId="0" applyFont="true" applyBorder="true" applyAlignment="true" applyProtection="true">
      <alignment horizontal="general" vertical="bottom" textRotation="0" wrapText="false" indent="0" shrinkToFit="false"/>
      <protection locked="false" hidden="false"/>
    </xf>
    <xf numFmtId="167" fontId="30" fillId="6" borderId="70" xfId="0" applyFont="true" applyBorder="true" applyAlignment="true" applyProtection="true">
      <alignment horizontal="general" vertical="bottom" textRotation="0" wrapText="false" indent="0" shrinkToFit="false"/>
      <protection locked="false" hidden="false"/>
    </xf>
    <xf numFmtId="167" fontId="30" fillId="6" borderId="52" xfId="0" applyFont="true" applyBorder="true" applyAlignment="true" applyProtection="true">
      <alignment horizontal="general" vertical="bottom" textRotation="0" wrapText="false" indent="0" shrinkToFit="false"/>
      <protection locked="false" hidden="false"/>
    </xf>
    <xf numFmtId="168" fontId="30" fillId="17" borderId="52" xfId="0" applyFont="true" applyBorder="true" applyAlignment="true" applyProtection="true">
      <alignment horizontal="general" vertical="bottom" textRotation="0" wrapText="false" indent="0" shrinkToFit="false"/>
      <protection locked="true" hidden="true"/>
    </xf>
    <xf numFmtId="168" fontId="30" fillId="22" borderId="54" xfId="0" applyFont="true" applyBorder="true" applyAlignment="true" applyProtection="true">
      <alignment horizontal="general" vertical="bottom" textRotation="0" wrapText="false" indent="0" shrinkToFit="false"/>
      <protection locked="true" hidden="true"/>
    </xf>
    <xf numFmtId="168" fontId="43" fillId="20" borderId="71" xfId="0" applyFont="true" applyBorder="true" applyAlignment="true" applyProtection="true">
      <alignment horizontal="general" vertical="bottom" textRotation="0" wrapText="false" indent="0" shrinkToFit="false"/>
      <protection locked="true" hidden="true"/>
    </xf>
    <xf numFmtId="172" fontId="27" fillId="22" borderId="69" xfId="0" applyFont="true" applyBorder="true" applyAlignment="true" applyProtection="true">
      <alignment horizontal="center" vertical="bottom" textRotation="0" wrapText="false" indent="0" shrinkToFit="false"/>
      <protection locked="true" hidden="true"/>
    </xf>
    <xf numFmtId="164" fontId="30" fillId="20" borderId="69" xfId="0" applyFont="true" applyBorder="true" applyAlignment="true" applyProtection="true">
      <alignment horizontal="left" vertical="bottom" textRotation="0" wrapText="false" indent="0" shrinkToFit="false"/>
      <protection locked="true" hidden="true"/>
    </xf>
    <xf numFmtId="168" fontId="0" fillId="17" borderId="42" xfId="0" applyFont="false" applyBorder="true" applyAlignment="false" applyProtection="true">
      <alignment horizontal="general" vertical="bottom" textRotation="0" wrapText="false" indent="0" shrinkToFit="false"/>
      <protection locked="true" hidden="true"/>
    </xf>
    <xf numFmtId="172" fontId="46" fillId="0" borderId="0" xfId="0" applyFont="true" applyBorder="false" applyAlignment="false" applyProtection="true">
      <alignment horizontal="general" vertical="bottom" textRotation="0" wrapText="false" indent="0" shrinkToFit="false"/>
      <protection locked="true" hidden="true"/>
    </xf>
    <xf numFmtId="168" fontId="30" fillId="22" borderId="71" xfId="0" applyFont="true" applyBorder="true" applyAlignment="true" applyProtection="true">
      <alignment horizontal="general" vertical="bottom" textRotation="0" wrapText="false" indent="0" shrinkToFit="false"/>
      <protection locked="true" hidden="true"/>
    </xf>
    <xf numFmtId="164" fontId="24" fillId="0" borderId="0" xfId="0" applyFont="true" applyBorder="true" applyAlignment="true" applyProtection="true">
      <alignment horizontal="center" vertical="center" textRotation="0" wrapText="false" indent="0" shrinkToFit="false"/>
      <protection locked="true" hidden="true"/>
    </xf>
    <xf numFmtId="164" fontId="0" fillId="20" borderId="69" xfId="0" applyFont="false" applyBorder="true" applyAlignment="true" applyProtection="false">
      <alignment horizontal="general" vertical="bottom" textRotation="0" wrapText="false" indent="0" shrinkToFit="false"/>
      <protection locked="true" hidden="false"/>
    </xf>
    <xf numFmtId="168" fontId="36" fillId="20" borderId="70" xfId="0" applyFont="true" applyBorder="true" applyAlignment="true" applyProtection="false">
      <alignment horizontal="right" vertical="bottom" textRotation="0" wrapText="false" indent="0" shrinkToFit="false"/>
      <protection locked="true" hidden="false"/>
    </xf>
    <xf numFmtId="172" fontId="0" fillId="0" borderId="0" xfId="0" applyFont="false" applyBorder="false" applyAlignment="false" applyProtection="true">
      <alignment horizontal="general" vertical="bottom" textRotation="0" wrapText="false" indent="0" shrinkToFit="false"/>
      <protection locked="true" hidden="true"/>
    </xf>
    <xf numFmtId="164" fontId="30" fillId="6" borderId="59" xfId="0" applyFont="true" applyBorder="true" applyAlignment="true" applyProtection="true">
      <alignment horizontal="general" vertical="bottom" textRotation="0" wrapText="false" indent="0" shrinkToFit="false"/>
      <protection locked="false" hidden="false"/>
    </xf>
    <xf numFmtId="167" fontId="30" fillId="6" borderId="72" xfId="0" applyFont="true" applyBorder="true" applyAlignment="true" applyProtection="true">
      <alignment horizontal="general" vertical="bottom" textRotation="0" wrapText="false" indent="0" shrinkToFit="false"/>
      <protection locked="false" hidden="false"/>
    </xf>
    <xf numFmtId="167" fontId="30" fillId="6" borderId="61" xfId="0" applyFont="true" applyBorder="true" applyAlignment="true" applyProtection="true">
      <alignment horizontal="general" vertical="bottom" textRotation="0" wrapText="false" indent="0" shrinkToFit="false"/>
      <protection locked="false" hidden="false"/>
    </xf>
    <xf numFmtId="168" fontId="30" fillId="17" borderId="61" xfId="0" applyFont="true" applyBorder="true" applyAlignment="true" applyProtection="true">
      <alignment horizontal="general" vertical="bottom" textRotation="0" wrapText="false" indent="0" shrinkToFit="false"/>
      <protection locked="true" hidden="true"/>
    </xf>
    <xf numFmtId="168" fontId="30" fillId="22" borderId="73" xfId="0" applyFont="true" applyBorder="true" applyAlignment="true" applyProtection="true">
      <alignment horizontal="general" vertical="bottom" textRotation="0" wrapText="false" indent="0" shrinkToFit="false"/>
      <protection locked="true" hidden="true"/>
    </xf>
    <xf numFmtId="168" fontId="43" fillId="20" borderId="73" xfId="0" applyFont="true" applyBorder="true" applyAlignment="true" applyProtection="true">
      <alignment horizontal="general" vertical="bottom" textRotation="0" wrapText="false" indent="0" shrinkToFit="false"/>
      <protection locked="true" hidden="true"/>
    </xf>
    <xf numFmtId="172" fontId="27" fillId="22" borderId="74" xfId="0" applyFont="true" applyBorder="true" applyAlignment="true" applyProtection="true">
      <alignment horizontal="center" vertical="bottom" textRotation="0" wrapText="false" indent="0" shrinkToFit="false"/>
      <protection locked="true" hidden="true"/>
    </xf>
    <xf numFmtId="164" fontId="0" fillId="20" borderId="74" xfId="0" applyFont="false" applyBorder="true" applyAlignment="true" applyProtection="false">
      <alignment horizontal="general" vertical="bottom" textRotation="0" wrapText="false" indent="0" shrinkToFit="false"/>
      <protection locked="true" hidden="false"/>
    </xf>
    <xf numFmtId="168" fontId="36" fillId="20" borderId="72" xfId="0" applyFont="true" applyBorder="true" applyAlignment="true" applyProtection="false">
      <alignment horizontal="right" vertical="bottom" textRotation="0" wrapText="false" indent="0" shrinkToFit="false"/>
      <protection locked="true" hidden="false"/>
    </xf>
    <xf numFmtId="164" fontId="46" fillId="0" borderId="0" xfId="0" applyFont="true" applyBorder="true" applyAlignment="true" applyProtection="true">
      <alignment horizontal="left" vertical="bottom" textRotation="0" wrapText="false" indent="0" shrinkToFit="false"/>
      <protection locked="true" hidden="true"/>
    </xf>
    <xf numFmtId="164" fontId="30" fillId="0" borderId="0" xfId="0" applyFont="true" applyBorder="true" applyAlignment="true" applyProtection="true">
      <alignment horizontal="left" vertical="bottom" textRotation="0" wrapText="false" indent="0" shrinkToFit="false"/>
      <protection locked="true" hidden="true"/>
    </xf>
    <xf numFmtId="164" fontId="33" fillId="17" borderId="41" xfId="0" applyFont="true" applyBorder="true" applyAlignment="false" applyProtection="true">
      <alignment horizontal="general" vertical="bottom" textRotation="0" wrapText="false" indent="0" shrinkToFit="false"/>
      <protection locked="true" hidden="true"/>
    </xf>
    <xf numFmtId="164" fontId="0" fillId="17" borderId="18" xfId="0" applyFont="false" applyBorder="true" applyAlignment="false" applyProtection="true">
      <alignment horizontal="general" vertical="bottom" textRotation="0" wrapText="false" indent="0" shrinkToFit="false"/>
      <protection locked="true" hidden="true"/>
    </xf>
    <xf numFmtId="167" fontId="32" fillId="0" borderId="0" xfId="0" applyFont="true" applyBorder="true" applyAlignment="true" applyProtection="true">
      <alignment horizontal="center" vertical="top" textRotation="0" wrapText="false" indent="0" shrinkToFit="false"/>
      <protection locked="true" hidden="true"/>
    </xf>
    <xf numFmtId="164" fontId="0" fillId="0" borderId="0" xfId="0" applyFont="false" applyBorder="true" applyAlignment="false" applyProtection="true">
      <alignment horizontal="general" vertical="bottom" textRotation="0" wrapText="false" indent="0" shrinkToFit="false"/>
      <protection locked="true" hidden="true"/>
    </xf>
    <xf numFmtId="168" fontId="0" fillId="17" borderId="40" xfId="0" applyFont="false" applyBorder="true" applyAlignment="false" applyProtection="true">
      <alignment horizontal="general" vertical="bottom" textRotation="0" wrapText="false" indent="0" shrinkToFit="false"/>
      <protection locked="true" hidden="true"/>
    </xf>
    <xf numFmtId="168" fontId="0" fillId="17" borderId="22" xfId="0" applyFont="false" applyBorder="true" applyAlignment="false" applyProtection="true">
      <alignment horizontal="general" vertical="bottom" textRotation="0" wrapText="false" indent="0" shrinkToFit="false"/>
      <protection locked="true" hidden="true"/>
    </xf>
    <xf numFmtId="166" fontId="0" fillId="17" borderId="22" xfId="0" applyFont="false" applyBorder="true" applyAlignment="false" applyProtection="true">
      <alignment horizontal="general" vertical="bottom" textRotation="0" wrapText="false" indent="0" shrinkToFit="false"/>
      <protection locked="true" hidden="true"/>
    </xf>
    <xf numFmtId="167" fontId="0" fillId="17" borderId="22" xfId="0" applyFont="false" applyBorder="true" applyAlignment="false" applyProtection="true">
      <alignment horizontal="general" vertical="bottom" textRotation="0" wrapText="false" indent="0" shrinkToFit="false"/>
      <protection locked="true" hidden="true"/>
    </xf>
    <xf numFmtId="172" fontId="0" fillId="17" borderId="22" xfId="0" applyFont="false" applyBorder="true" applyAlignment="false" applyProtection="true">
      <alignment horizontal="general" vertical="bottom" textRotation="0" wrapText="false" indent="0" shrinkToFit="false"/>
      <protection locked="true" hidden="true"/>
    </xf>
    <xf numFmtId="167" fontId="0" fillId="17" borderId="0" xfId="0" applyFont="false" applyBorder="false" applyAlignment="false" applyProtection="true">
      <alignment horizontal="general" vertical="bottom" textRotation="0" wrapText="false" indent="0" shrinkToFit="false"/>
      <protection locked="true" hidden="true"/>
    </xf>
    <xf numFmtId="172" fontId="0" fillId="17" borderId="34" xfId="0" applyFont="false" applyBorder="true" applyAlignment="false" applyProtection="true">
      <alignment horizontal="general" vertical="bottom" textRotation="0" wrapText="false" indent="0" shrinkToFit="false"/>
      <protection locked="true" hidden="true"/>
    </xf>
    <xf numFmtId="172" fontId="0" fillId="17" borderId="0" xfId="0" applyFont="false" applyBorder="false" applyAlignment="false" applyProtection="true">
      <alignment horizontal="general" vertical="bottom" textRotation="0" wrapText="false" indent="0" shrinkToFit="false"/>
      <protection locked="true" hidden="true"/>
    </xf>
    <xf numFmtId="172" fontId="0" fillId="0" borderId="0" xfId="0" applyFont="false" applyBorder="false" applyAlignment="false" applyProtection="true">
      <alignment horizontal="general" vertical="bottom" textRotation="0" wrapText="false" indent="0" shrinkToFit="false"/>
      <protection locked="true" hidden="true"/>
    </xf>
    <xf numFmtId="164" fontId="25" fillId="17" borderId="0" xfId="0" applyFont="true" applyBorder="false" applyAlignment="false" applyProtection="true">
      <alignment horizontal="general" vertical="bottom" textRotation="0" wrapText="false" indent="0" shrinkToFit="false"/>
      <protection locked="true" hidden="true"/>
    </xf>
    <xf numFmtId="167" fontId="25" fillId="17" borderId="22" xfId="0" applyFont="true" applyBorder="true" applyAlignment="false" applyProtection="true">
      <alignment horizontal="general" vertical="bottom" textRotation="0" wrapText="false" indent="0" shrinkToFit="false"/>
      <protection locked="true" hidden="true"/>
    </xf>
  </cellXfs>
  <cellStyles count="47">
    <cellStyle name="Normal" xfId="0" builtinId="0"/>
    <cellStyle name="Comma" xfId="15" builtinId="3"/>
    <cellStyle name="Comma [0]" xfId="16" builtinId="6"/>
    <cellStyle name="Currency" xfId="17" builtinId="4"/>
    <cellStyle name="Currency [0]" xfId="18" builtinId="7"/>
    <cellStyle name="Percent" xfId="19" builtinId="5"/>
    <cellStyle name="20 % - Accent1" xfId="20"/>
    <cellStyle name="20 % - Accent2" xfId="21"/>
    <cellStyle name="20 % - Accent3" xfId="22"/>
    <cellStyle name="20 % - Accent4" xfId="23"/>
    <cellStyle name="20 % - Accent5" xfId="24"/>
    <cellStyle name="20 % - Accent6" xfId="25"/>
    <cellStyle name="40 % - Accent1" xfId="26"/>
    <cellStyle name="40 % - Accent2" xfId="27"/>
    <cellStyle name="40 % - Accent3" xfId="28"/>
    <cellStyle name="40 % - Accent4" xfId="29"/>
    <cellStyle name="40 % - Accent5" xfId="30"/>
    <cellStyle name="40 % - Accent6" xfId="31"/>
    <cellStyle name="60 % - Accent1" xfId="32"/>
    <cellStyle name="60 % - Accent2" xfId="33"/>
    <cellStyle name="60 % - Accent3" xfId="34"/>
    <cellStyle name="60 % - Accent4" xfId="35"/>
    <cellStyle name="60 % - Accent5" xfId="36"/>
    <cellStyle name="60 % - Accent6" xfId="37"/>
    <cellStyle name="Accent1" xfId="38"/>
    <cellStyle name="Accent2" xfId="39"/>
    <cellStyle name="Accent3" xfId="40"/>
    <cellStyle name="Accent4" xfId="41"/>
    <cellStyle name="Accent5" xfId="42"/>
    <cellStyle name="Accent6" xfId="43"/>
    <cellStyle name="Avertissement" xfId="44"/>
    <cellStyle name="Calcul" xfId="45"/>
    <cellStyle name="Cellule liée" xfId="46"/>
    <cellStyle name="Commentaire" xfId="47"/>
    <cellStyle name="Entrée" xfId="48"/>
    <cellStyle name="Insatisfaisant" xfId="49"/>
    <cellStyle name="Neutre" xfId="50"/>
    <cellStyle name="Satisfaisant" xfId="51"/>
    <cellStyle name="Sortie" xfId="52"/>
    <cellStyle name="Texte explicatif" xfId="53"/>
    <cellStyle name="Titre" xfId="54"/>
    <cellStyle name="Titre 1" xfId="55"/>
    <cellStyle name="Titre 2" xfId="56"/>
    <cellStyle name="Titre 3" xfId="57"/>
    <cellStyle name="Titre 4" xfId="58"/>
    <cellStyle name="Total" xfId="59"/>
    <cellStyle name="Vérification" xfId="60"/>
  </cellStyles>
  <dxfs count="26">
    <dxf>
      <font>
        <name val="Arial"/>
        <family val="0"/>
        <color rgb="FFFF0000"/>
      </font>
    </dxf>
    <dxf>
      <font>
        <name val="Arial"/>
        <family val="0"/>
        <color rgb="FFC0C0C0"/>
      </font>
    </dxf>
    <dxf>
      <font>
        <name val="Arial"/>
        <family val="0"/>
        <color rgb="FFFF0000"/>
      </font>
    </dxf>
    <dxf>
      <font>
        <name val="Arial"/>
        <family val="0"/>
        <b val="0"/>
        <i val="0"/>
        <color rgb="FF339966"/>
      </font>
    </dxf>
    <dxf>
      <font>
        <name val="Arial"/>
        <family val="0"/>
        <color rgb="FF808080"/>
      </font>
    </dxf>
    <dxf>
      <font>
        <name val="Arial"/>
        <family val="0"/>
        <color rgb="FF339966"/>
      </font>
    </dxf>
    <dxf>
      <font>
        <name val="Arial"/>
        <family val="0"/>
        <color rgb="FF808080"/>
      </font>
    </dxf>
    <dxf>
      <font>
        <name val="Arial"/>
        <family val="0"/>
        <color rgb="FFFF0000"/>
      </font>
    </dxf>
    <dxf>
      <font>
        <name val="Arial"/>
        <family val="0"/>
        <b val="0"/>
        <i val="0"/>
        <color rgb="FF808080"/>
      </font>
    </dxf>
    <dxf>
      <font>
        <name val="Arial"/>
        <family val="0"/>
        <b val="1"/>
        <i val="0"/>
        <color rgb="00FFFFFF"/>
      </font>
    </dxf>
    <dxf>
      <font>
        <name val="Arial"/>
        <family val="0"/>
        <b val="0"/>
        <i val="0"/>
        <color rgb="FF808080"/>
      </font>
    </dxf>
    <dxf>
      <font>
        <name val="Arial"/>
        <family val="0"/>
        <b val="1"/>
        <i val="0"/>
        <color rgb="00FFFFFF"/>
      </font>
    </dxf>
    <dxf>
      <font>
        <name val="Arial"/>
        <family val="0"/>
        <b val="0"/>
        <i val="0"/>
        <color rgb="FF808080"/>
      </font>
    </dxf>
    <dxf>
      <font>
        <name val="Arial"/>
        <family val="0"/>
        <b val="1"/>
        <i val="0"/>
        <color rgb="00FFFFFF"/>
      </font>
    </dxf>
    <dxf>
      <font>
        <name val="Arial"/>
        <family val="0"/>
        <b val="0"/>
        <i val="0"/>
        <color rgb="FF808080"/>
      </font>
    </dxf>
    <dxf>
      <font>
        <name val="Arial"/>
        <family val="0"/>
        <b val="1"/>
        <i val="0"/>
        <color rgb="00FFFFFF"/>
      </font>
    </dxf>
    <dxf>
      <font>
        <name val="Arial"/>
        <family val="0"/>
        <b val="0"/>
        <i val="0"/>
        <color rgb="FF808080"/>
      </font>
    </dxf>
    <dxf>
      <font>
        <name val="Arial"/>
        <family val="0"/>
        <b val="1"/>
        <i val="0"/>
        <color rgb="00FFFFFF"/>
      </font>
    </dxf>
    <dxf>
      <font>
        <name val="Arial"/>
        <family val="0"/>
        <b val="0"/>
        <i val="0"/>
        <color rgb="FF808080"/>
      </font>
    </dxf>
    <dxf>
      <font>
        <name val="Arial"/>
        <family val="0"/>
        <b val="1"/>
        <i val="0"/>
        <color rgb="00FFFFFF"/>
      </font>
    </dxf>
    <dxf>
      <font>
        <name val="Arial"/>
        <family val="0"/>
        <b val="0"/>
        <i val="0"/>
        <color rgb="FF808080"/>
      </font>
    </dxf>
    <dxf>
      <font>
        <name val="Arial"/>
        <family val="0"/>
        <b val="1"/>
        <i val="0"/>
        <color rgb="00FFFFFF"/>
      </font>
    </dxf>
    <dxf>
      <font>
        <name val="Arial"/>
        <family val="0"/>
        <color rgb="FFFF0000"/>
      </font>
      <fill>
        <patternFill>
          <bgColor rgb="FF969696"/>
        </patternFill>
      </fill>
    </dxf>
    <dxf>
      <font>
        <name val="Arial"/>
        <family val="0"/>
        <color rgb="FF339966"/>
      </font>
    </dxf>
    <dxf>
      <font>
        <name val="Arial"/>
        <family val="0"/>
        <color rgb="FF808080"/>
      </font>
    </dxf>
    <dxf>
      <font>
        <name val="Arial"/>
        <family val="0"/>
        <color rgb="FFFF0000"/>
      </font>
    </dxf>
  </dxfs>
</styleSheet>
</file>

<file path=xl/_rels/workbook.xml.rels><?xml version="1.0" encoding="UTF-8"?>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worksheet" Target="worksheets/sheet1.xml"/><Relationship Id="rId4" Type="http://schemas.openxmlformats.org/officeDocument/2006/relationships/externalLink" Target="externalLinks/externalLink1.xml"/><Relationship Id="rId5" Type="http://schemas.openxmlformats.org/officeDocument/2006/relationships/sharedStrings" Target="sharedStrings.xml"/>
</Relationships>
</file>

<file path=xl/drawings/drawing1.xml><?xml version="1.0" encoding="utf-8"?>
<xdr:wsDr xmlns:xdr="http://schemas.openxmlformats.org/drawingml/2006/spreadsheetDrawing" xmlns:a="http://schemas.openxmlformats.org/drawingml/2006/main" xmlns:r="http://schemas.openxmlformats.org/officeDocument/2006/relationships">
  <xdr:twoCellAnchor editAs="oneCell">
    <xdr:from>
      <xdr:col>22</xdr:col>
      <xdr:colOff>10800</xdr:colOff>
      <xdr:row>6</xdr:row>
      <xdr:rowOff>19080</xdr:rowOff>
    </xdr:from>
    <xdr:to>
      <xdr:col>22</xdr:col>
      <xdr:colOff>1732320</xdr:colOff>
      <xdr:row>9</xdr:row>
      <xdr:rowOff>3960</xdr:rowOff>
    </xdr:to>
    <xdr:grpSp>
      <xdr:nvGrpSpPr>
        <xdr:cNvPr id="0" name="Group 25"/>
        <xdr:cNvGrpSpPr/>
      </xdr:nvGrpSpPr>
      <xdr:grpSpPr>
        <a:xfrm>
          <a:off x="8177400" y="1076400"/>
          <a:ext cx="1721520" cy="480240"/>
          <a:chOff x="8177400" y="1076400"/>
          <a:chExt cx="1721520" cy="480240"/>
        </a:xfrm>
      </xdr:grpSpPr>
    </xdr:grpSp>
    <xdr:clientData/>
  </xdr:twoCellAnchor>
  <xdr:twoCellAnchor editAs="oneCell">
    <xdr:from>
      <xdr:col>22</xdr:col>
      <xdr:colOff>10800</xdr:colOff>
      <xdr:row>0</xdr:row>
      <xdr:rowOff>9360</xdr:rowOff>
    </xdr:from>
    <xdr:to>
      <xdr:col>22</xdr:col>
      <xdr:colOff>1752840</xdr:colOff>
      <xdr:row>1</xdr:row>
      <xdr:rowOff>66240</xdr:rowOff>
    </xdr:to>
    <xdr:clientData/>
  </xdr:twoCellAnchor>
  <xdr:twoCellAnchor editAs="oneCell">
    <xdr:from>
      <xdr:col>22</xdr:col>
      <xdr:colOff>10800</xdr:colOff>
      <xdr:row>1</xdr:row>
      <xdr:rowOff>56880</xdr:rowOff>
    </xdr:from>
    <xdr:to>
      <xdr:col>22</xdr:col>
      <xdr:colOff>1752840</xdr:colOff>
      <xdr:row>2</xdr:row>
      <xdr:rowOff>133560</xdr:rowOff>
    </xdr:to>
    <xdr:clientData/>
  </xdr:twoCellAnchor>
  <xdr:twoCellAnchor editAs="oneCell">
    <xdr:from>
      <xdr:col>23</xdr:col>
      <xdr:colOff>81000</xdr:colOff>
      <xdr:row>0</xdr:row>
      <xdr:rowOff>38160</xdr:rowOff>
    </xdr:from>
    <xdr:to>
      <xdr:col>23</xdr:col>
      <xdr:colOff>1832400</xdr:colOff>
      <xdr:row>2</xdr:row>
      <xdr:rowOff>109440</xdr:rowOff>
    </xdr:to>
    <xdr:grpSp>
      <xdr:nvGrpSpPr>
        <xdr:cNvPr id="1" name="Group 32"/>
        <xdr:cNvGrpSpPr/>
      </xdr:nvGrpSpPr>
      <xdr:grpSpPr>
        <a:xfrm>
          <a:off x="10038960" y="38160"/>
          <a:ext cx="1751400" cy="433080"/>
          <a:chOff x="10038960" y="38160"/>
          <a:chExt cx="1751400" cy="433080"/>
        </a:xfrm>
      </xdr:grpSpPr>
    </xdr:grpSp>
    <xdr:clientData/>
  </xdr:twoCellAnchor>
  <xdr:twoCellAnchor editAs="oneCell">
    <xdr:from>
      <xdr:col>23</xdr:col>
      <xdr:colOff>81000</xdr:colOff>
      <xdr:row>3</xdr:row>
      <xdr:rowOff>0</xdr:rowOff>
    </xdr:from>
    <xdr:to>
      <xdr:col>23</xdr:col>
      <xdr:colOff>1832400</xdr:colOff>
      <xdr:row>8</xdr:row>
      <xdr:rowOff>71280</xdr:rowOff>
    </xdr:to>
    <xdr:grpSp>
      <xdr:nvGrpSpPr>
        <xdr:cNvPr id="2" name="Group 38"/>
        <xdr:cNvGrpSpPr/>
      </xdr:nvGrpSpPr>
      <xdr:grpSpPr>
        <a:xfrm>
          <a:off x="10038960" y="533520"/>
          <a:ext cx="1751400" cy="918720"/>
          <a:chOff x="10038960" y="533520"/>
          <a:chExt cx="1751400" cy="918720"/>
        </a:xfrm>
      </xdr:grpSpPr>
    </xdr:grpSp>
    <xdr:clientData/>
  </xdr:twoCellAnchor>
  <xdr:twoCellAnchor editAs="oneCell">
    <xdr:from>
      <xdr:col>22</xdr:col>
      <xdr:colOff>986760</xdr:colOff>
      <xdr:row>61</xdr:row>
      <xdr:rowOff>66240</xdr:rowOff>
    </xdr:from>
    <xdr:to>
      <xdr:col>23</xdr:col>
      <xdr:colOff>867240</xdr:colOff>
      <xdr:row>62</xdr:row>
      <xdr:rowOff>152280</xdr:rowOff>
    </xdr:to>
    <xdr:clientData/>
  </xdr:twoCellAnchor>
  <xdr:twoCellAnchor editAs="oneCell">
    <xdr:from>
      <xdr:col>22</xdr:col>
      <xdr:colOff>10800</xdr:colOff>
      <xdr:row>2</xdr:row>
      <xdr:rowOff>124200</xdr:rowOff>
    </xdr:from>
    <xdr:to>
      <xdr:col>22</xdr:col>
      <xdr:colOff>1752840</xdr:colOff>
      <xdr:row>4</xdr:row>
      <xdr:rowOff>28080</xdr:rowOff>
    </xdr:to>
    <xdr:clientData/>
  </xdr:twoCellAnchor>
  <xdr:twoCellAnchor editAs="oneCell">
    <xdr:from>
      <xdr:col>22</xdr:col>
      <xdr:colOff>10800</xdr:colOff>
      <xdr:row>4</xdr:row>
      <xdr:rowOff>19080</xdr:rowOff>
    </xdr:from>
    <xdr:to>
      <xdr:col>22</xdr:col>
      <xdr:colOff>1752840</xdr:colOff>
      <xdr:row>5</xdr:row>
      <xdr:rowOff>85680</xdr:rowOff>
    </xdr:to>
    <xdr:clientData/>
  </xdr:twoCellAnchor>
</xdr:wsDr>
</file>

<file path=xl/externalLinks/_rels/externalLink1.xml.rels><?xml version="1.0" encoding="UTF-8"?>
<Relationships xmlns="http://schemas.openxmlformats.org/package/2006/relationships"><Relationship Id="rId1" Type="http://schemas.openxmlformats.org/officeDocument/2006/relationships/externalLinkPath" Target="12001_VEYLEG_20-08-12_IBMR_LF.xls" TargetMode="External"/>
</Relationships>
</file>

<file path=xl/externalLinks/externalLink1.xml><?xml version="1.0" encoding="UTF-8" standalone="yes"?>
<externalLink xmlns="http://schemas.openxmlformats.org/spreadsheetml/2006/main"><externalBook xmlns:r="http://schemas.openxmlformats.org/officeDocument/2006/relationships" r:id="rId1"><sheetNames><sheetName val="accueil"/><sheetName val="liste reference"/><sheetName val="Récap."/><sheetName val="Macro1"/><sheetName val="notice"/><sheetName val="Identification"/><sheetName val="Saisie_LF"/><sheetName val="Liste_Taxa"/><sheetName val="Mode_emploi"/><sheetName val="modele"/><sheetName val="liste codes réf"/></sheetNames><sheetDataSet><sheetData sheetId="0"></sheetData><sheetData sheetId="1"><row r="1"><cell r="A1" t="str"><v>LISTE DES TAXA AQUATIQUES POTENTIELLEMENT RENCONTRES EN FRANCE</v></cell></row><row r="1"><cell r="E1" t="str"><v>nom / code recherché ?</v></cell></row><row r="2"><cell r="A2" t="str"><v>notes spécifiques et coefficients de sténoécie                                      </v></cell></row><row r="3"><cell r="B3" t="str"><v>version 2.6 - février 212</v></cell></row><row r="3"><cell r="D3"><v>2</v></cell></row><row r="4"><cell r="B4" t="str"><v>Conforme à la norme NF T9-395 (octobre 23)</v></cell></row><row r="5"><cell r="A5" t="str"><v>CODE</v></cell><cell r="B5" t="str"><v>NOM</v></cell><cell r="C5" t="str"><v>cote spéc.</v></cell><cell r="D5" t="str"><v>coef. Sténo.</v></cell><cell r="E5" t="str"><v>NOM D'AUTEUR</v></cell><cell r="F5" t="str"><v>SYNONYME 1</v></cell><cell r="G5" t="str"><v>SYNONYME 2</v></cell><cell r="H5" t="str"><v>SYNONYME 3</v></cell><cell r="I5" t="str"><v>SYNONYME 4</v></cell><cell r="J5" t="str"><v>SYNONYME 5</v></cell><cell r="K5" t="str"><v>SYNONYME 6</v></cell><cell r="L5" t="str"><v>SYNONYME 7</v></cell><cell r="M5" t="str"><v>grp</v></cell></row><row r="5"><cell r="O5" t="str"><v> type</v></cell><cell r="P5" t="str"><v>IBMR</v></cell><cell r="Q5" t="str"><v>MONO/DICOT</v></cell></row><row r="5"><cell r="S5" t="str"><v>cd_sandre</v></cell></row><row r="6"><cell r="A6" t="str"><v>ACHPTA</v></cell><cell r="B6" t="str"><v>Achillea ptarmica</v></cell></row><row r="6"><cell r="E6" t="str"><v>      </v></cell></row><row r="6"><cell r="M6" t="str"><v>PHg</v></cell><cell r="N6"><v>9</v></cell><cell r="O6" t="str"><v>HYG</v></cell></row><row r="6"><cell r="Q6" t="str"><v>DICOT</v></cell></row><row r="6"><cell r="S6"><v>1723</v></cell></row><row r="7"><cell r="A7" t="str"><v>ACOCAL</v></cell><cell r="B7" t="str"><v>Acorus calamus</v></cell><cell r="C7"><v>7</v></cell><cell r="D7"><v>3</v></cell><cell r="E7" t="str"><v>L.      </v></cell><cell r="F7" t="str"><v>Acorus vulgaris Simonk.</v></cell></row><row r="7"><cell r="M7" t="str"><v>PHe</v></cell><cell r="N7"><v>8</v></cell><cell r="O7" t="str"><v>HEL</v></cell><cell r="P7" t="str"><v>IBMR</v></cell><cell r="Q7" t="str"><v>MONOCOT</v></cell></row><row r="7"><cell r="S7"><v>1459</v></cell></row><row r="8"><cell r="A8" t="str"><v>ACOGRA</v></cell><cell r="B8" t="str"><v>Acorus gramineus</v></cell></row><row r="8"><cell r="E8" t="str"><v>      </v></cell></row><row r="8"><cell r="M8" t="str"><v>PHe</v></cell><cell r="N8"><v>8</v></cell><cell r="O8" t="str"><v>HEL</v></cell></row><row r="8"><cell r="Q8" t="str"><v>MONOCOT</v></cell></row><row r="8"><cell r="S8"><v>19748</v></cell></row><row r="9"><cell r="A9" t="str"><v>ACOSPX</v></cell><cell r="B9" t="str"><v>Acorus sp.</v></cell></row><row r="9"><cell r="M9" t="str"><v>PHe</v></cell><cell r="N9"><v>8</v></cell><cell r="O9" t="str"><v>HEL</v></cell></row><row r="9"><cell r="S9"><v>1458</v></cell></row><row r="10"><cell r="A10" t="str"><v>ADICAP</v></cell><cell r="B10" t="str"><v>Adianthum capillus-veneris</v></cell></row><row r="10"><cell r="E10" t="str"><v>veneris L.     </v></cell></row><row r="10"><cell r="M10" t="str"><v>PTE</v></cell><cell r="N10"><v>6</v></cell></row><row r="10"><cell r="S10"><v>146</v></cell></row><row r="11"><cell r="A11" t="str"><v>AGPREP</v></cell><cell r="B11" t="str"><v>Agropyrum repens</v></cell></row><row r="11"><cell r="E11" t="str"><v>(L.) Beauv.     </v></cell></row><row r="11"><cell r="M11" t="str"><v>PHg</v></cell><cell r="N11"><v>9</v></cell><cell r="O11" t="str"><v>HYG</v></cell></row><row r="11"><cell r="Q11" t="str"><v>MONOCOT</v></cell></row><row r="11"><cell r="S11"><v>1541</v></cell></row><row r="12"><cell r="A12" t="str"><v>AGRCAN</v></cell><cell r="B12" t="str"><v>Agrostis canina</v></cell></row><row r="12"><cell r="E12" t="str"><v>L.      </v></cell></row><row r="12"><cell r="M12" t="str"><v>PHg</v></cell><cell r="N12"><v>9</v></cell><cell r="O12" t="str"><v>HYG</v></cell></row><row r="12"><cell r="Q12" t="str"><v>MONOCOT</v></cell></row><row r="12"><cell r="S12"><v>19749</v></cell></row><row r="13"><cell r="A13" t="str"><v>AGRSPX</v></cell><cell r="B13" t="str"><v>Agrostis sp.</v></cell></row><row r="13"><cell r="E13" t="str"><v>      </v></cell></row><row r="13"><cell r="M13" t="str"><v>PHg</v></cell><cell r="N13"><v>9</v></cell><cell r="O13" t="str"><v>HYG/HEL</v></cell></row><row r="13"><cell r="Q13" t="str"><v>MONOCOT</v></cell></row><row r="13"><cell r="S13"><v>1542</v></cell></row><row r="14"><cell r="A14" t="str"><v>AGRSTO</v></cell><cell r="B14" t="str"><v>Agrostis stolonifera</v></cell><cell r="C14"><v>10</v></cell><cell r="D14"><v>1</v></cell><cell r="E14" t="str"><v>L. fo. Aq.    </v></cell></row><row r="14"><cell r="M14" t="str"><v>PHe</v></cell><cell r="N14"><v>8</v></cell><cell r="O14" t="str"><v>HEL</v></cell><cell r="P14" t="str"><v>IBMR</v></cell><cell r="Q14" t="str"><v>MONOCOT</v></cell></row><row r="14"><cell r="S14"><v>1543</v></cell></row><row r="15"><cell r="A15" t="str"><v>AGRVUL</v></cell><cell r="B15" t="str"><v>Agrostis vulgaris</v></cell></row><row r="15"><cell r="E15" t="str"><v>With.      </v></cell></row><row r="15"><cell r="M15" t="str"><v>PHg</v></cell><cell r="N15"><v>9</v></cell><cell r="O15" t="str"><v>HYG</v></cell></row><row r="15"><cell r="Q15" t="str"><v>MONOCOT</v></cell></row><row r="15"><cell r="S15"><v>19751</v></cell></row><row r="16"><cell r="A16" t="str"><v>ALDVES</v></cell><cell r="B16" t="str"><v>Aldrovanda vesiculosa</v></cell></row><row r="16"><cell r="E16" t="str"><v>      </v></cell></row><row r="16"><cell r="M16" t="str"><v>PHy</v></cell><cell r="N16"><v>7</v></cell><cell r="O16" t="str"><v>HYD</v></cell></row><row r="16"><cell r="Q16" t="str"><v>DICOT</v></cell></row><row r="16"><cell r="S16"><v>19752</v></cell></row><row r="17"><cell r="A17" t="str"><v>ALIGRA</v></cell><cell r="B17" t="str"><v>Alisma gramineum</v></cell></row><row r="17"><cell r="E17" t="str"><v>Lej      </v></cell></row><row r="17"><cell r="M17" t="str"><v>PHe</v></cell><cell r="N17"><v>8</v></cell><cell r="O17" t="str"><v>HEL</v></cell></row><row r="17"><cell r="Q17" t="str"><v>MONOCOT</v></cell></row><row r="17"><cell r="S17"><v>1445</v></cell></row><row r="18"><cell r="A18" t="str"><v>ALILAN</v></cell><cell r="B18" t="str"><v>Alisma lanceolatum</v></cell><cell r="C18"><v>9</v></cell><cell r="D18"><v>2</v></cell><cell r="E18" t="str"><v>With      </v></cell><cell r="F18" t="str"><v>Alisma plantago-aquatica L. subsp. Lanceolatum (With.)</v></cell><cell r="G18" t="str"><v>Alisma stenophyllum (Ascherson & Graebner) Samuelsson</v></cell></row><row r="18"><cell r="M18" t="str"><v>PHe</v></cell><cell r="N18"><v>8</v></cell><cell r="O18" t="str"><v>HYD/HEL</v></cell><cell r="P18" t="str"><v>IBMR</v></cell><cell r="Q18" t="str"><v>MONOCOT</v></cell></row><row r="18"><cell r="S18"><v>1446</v></cell></row><row r="19"><cell r="A19" t="str"><v>ALIPLA</v></cell><cell r="B19" t="str"><v>Alisma plantago-aquatica</v></cell><cell r="C19"><v>8</v></cell><cell r="D19"><v>2</v></cell><cell r="E19" t="str"><v>L.      </v></cell><cell r="F19" t="str"><v>Alisma subcordatum Rafin.</v></cell><cell r="G19" t="str"><v>Alisma brevipes E.L.Greene</v></cell><cell r="H19" t="str"><v>Alisma cordifolium Murray</v></cell><cell r="I19" t="str"><v>Alisma plantago-aquatica subsp. michaletii Ascherson & Graebner</v></cell></row><row r="19"><cell r="M19" t="str"><v>PHe</v></cell><cell r="N19"><v>8</v></cell><cell r="O19" t="str"><v>HEL</v></cell><cell r="P19" t="str"><v>IBMR</v></cell><cell r="Q19" t="str"><v>MONOCOT</v></cell></row><row r="19"><cell r="S19"><v>1447</v></cell></row><row r="20"><cell r="A20" t="str"><v>ALISPX</v></cell><cell r="B20" t="str"><v>Alisma sp.</v></cell></row><row r="20"><cell r="E20" t="str"><v>      </v></cell></row><row r="20"><cell r="M20" t="str"><v>PHe</v></cell><cell r="N20"><v>8</v></cell><cell r="O20" t="str"><v>HEL</v></cell></row><row r="20"><cell r="Q20" t="str"><v>MONOCOT</v></cell></row><row r="20"><cell r="S20"><v>1444</v></cell></row><row r="21"><cell r="A21" t="str"><v>ALIWAH</v></cell><cell r="B21" t="str"><v>Alisma wahlenbergii</v></cell></row><row r="21"><cell r="E21" t="str"><v>      </v></cell></row><row r="21"><cell r="M21" t="str"><v>PHx</v></cell><cell r="N21"><v>1</v></cell></row><row r="21"><cell r="Q21" t="str"><v>MONOCOT</v></cell></row><row r="21"><cell r="S21"><v>19753</v></cell></row><row r="22"><cell r="A22" t="str"><v>ALOAEQ</v></cell><cell r="B22" t="str"><v>Alopecurus aequalis</v></cell></row><row r="22"><cell r="E22" t="str"><v>Sobol      </v></cell></row><row r="22"><cell r="M22" t="str"><v>PHg</v></cell><cell r="N22"><v>9</v></cell><cell r="O22" t="str"><v>HYG</v></cell></row><row r="22"><cell r="Q22" t="str"><v>MONOCOT</v></cell></row><row r="22"><cell r="S22"><v>19754</v></cell></row><row r="23"><cell r="A23" t="str"><v>ALOGEN</v></cell><cell r="B23" t="str"><v>Alopecurus geniculatus</v></cell></row><row r="23"><cell r="E23" t="str"><v>Sobolewski      </v></cell></row><row r="23"><cell r="M23" t="str"><v>PHg</v></cell><cell r="N23"><v>9</v></cell><cell r="O23" t="str"><v>HYG</v></cell></row><row r="23"><cell r="Q23" t="str"><v>MONOCOT</v></cell></row><row r="23"><cell r="S23"><v>1547</v></cell></row><row r="24"><cell r="A24" t="str"><v>ALOPRA</v></cell><cell r="B24" t="str"><v>Alopecurus pratensis</v></cell></row><row r="24"><cell r="E24" t="str"><v>L.      </v></cell></row><row r="24"><cell r="M24" t="str"><v>PHg</v></cell><cell r="N24"><v>9</v></cell><cell r="O24" t="str"><v>HYG</v></cell></row><row r="24"><cell r="Q24" t="str"><v>MONOCOT</v></cell></row><row r="24"><cell r="S24"><v>19755</v></cell></row><row r="25"><cell r="A25" t="str"><v>ALOSPX</v></cell><cell r="B25" t="str"><v>Alopecurus sp.</v></cell></row><row r="25"><cell r="E25" t="str"><v>      </v></cell></row><row r="25"><cell r="M25" t="str"><v>PHg</v></cell><cell r="N25"><v>9</v></cell><cell r="O25" t="str"><v>HYG</v></cell></row><row r="25"><cell r="Q25" t="str"><v>MONOCOT</v></cell></row><row r="25"><cell r="S25"><v>1544</v></cell></row><row r="26"><cell r="A26" t="str"><v>ALTFIL</v></cell><cell r="B26" t="str"><v>Althenia filiformis</v></cell></row><row r="26"><cell r="E26" t="str"><v>      </v></cell></row><row r="26"><cell r="M26" t="str"><v>PHy</v></cell><cell r="N26"><v>7</v></cell><cell r="O26" t="str"><v>HYD</v></cell></row><row r="26"><cell r="Q26" t="str"><v>MONOCOT</v></cell></row><row r="26"><cell r="S26"><v>19756</v></cell></row><row r="27"><cell r="A27" t="str"><v>ALTORI</v></cell><cell r="B27" t="str"><v>Althenia orientalis</v></cell></row><row r="27"><cell r="E27" t="str"><v>      </v></cell></row><row r="27"><cell r="M27" t="str"><v>PHy</v></cell><cell r="N27"><v>7</v></cell><cell r="O27" t="str"><v>HYD</v></cell></row><row r="27"><cell r="Q27" t="str"><v>MONOCOT</v></cell></row><row r="27"><cell r="S27"><v>19757</v></cell></row><row r="28"><cell r="A28" t="str"><v>AMASPX</v></cell><cell r="B28" t="str"><v>Amaranthus sp.</v></cell></row><row r="28"><cell r="E28" t="str"><v>      </v></cell></row><row r="28"><cell r="M28" t="str"><v>PHg</v></cell><cell r="N28"><v>9</v></cell><cell r="O28" t="str"><v>HYG</v></cell></row><row r="28"><cell r="Q28" t="str"><v>DICOT</v></cell></row><row r="28"><cell r="S28"><v>19758</v></cell></row><row r="29"><cell r="A29" t="str"><v>AMBFLU</v></cell><cell r="B29" t="str"><v>Amblystegium fluviatile</v></cell><cell r="C29"><v>11</v></cell><cell r="D29"><v>2</v></cell><cell r="E29" t="str"><v>(Hedw.) B., S. & G.</v></cell><cell r="F29" t="str"><v>Hygroamblystegium fluviatile (Hedw.) Loeske</v></cell><cell r="G29" t="str"><v>Hygroamblystegium noterophilum (Sull. & Lesq.) Warnst.</v></cell></row><row r="29"><cell r="M29" t="str"><v>BRm</v></cell><cell r="N29"><v>5</v></cell></row><row r="29"><cell r="P29" t="str"><v>IBMR</v></cell></row><row r="29"><cell r="S29"><v>1223</v></cell></row><row r="30"><cell r="A30" t="str"><v>AMBRIP</v></cell><cell r="B30" t="str"><v>Amblystegium riparium</v></cell><cell r="C30"><v>5</v></cell><cell r="D30"><v>2</v></cell><cell r="E30" t="str"><v>(Hedw.) B., S. & G.</v></cell><cell r="F30" t="str"><v>Leptodictyum riparium (Hedw.) Warnst.</v></cell><cell r="G30" t="str"><v>Amblystegium leptophyllum Schimp.</v></cell><cell r="H30" t="str"><v>Amblystegium maderense (Mitt.) Jaeg.</v></cell></row><row r="30"><cell r="M30" t="str"><v>BRm</v></cell><cell r="N30"><v>5</v></cell></row><row r="30"><cell r="P30" t="str"><v>IBMR</v></cell></row><row r="30"><cell r="S30"><v>1219</v></cell></row><row r="31"><cell r="A31" t="str"><v>AMBSPX</v></cell><cell r="B31" t="str"><v>Amblystegium sp.</v></cell></row><row r="31"><cell r="E31" t="str"><v>B., S. & G.</v></cell></row><row r="31"><cell r="M31" t="str"><v>BRm</v></cell><cell r="N31"><v>5</v></cell></row><row r="31"><cell r="S31"><v>1222</v></cell></row><row r="32"><cell r="A32" t="str"><v>AMBTEN</v></cell><cell r="B32" t="str"><v>Amblystegium tenax</v></cell><cell r="C32"><v>15</v></cell><cell r="D32"><v>2</v></cell><cell r="E32" t="str"><v>(Hedw.) C. Jens.</v></cell><cell r="F32" t="str"><v>Hygroamblystegium tenax (Hedw.) Jenn.</v></cell><cell r="G32" t="str"><v>Hygroamblystegium irrigum (Hook. & Wils.) Loeske</v></cell></row><row r="32"><cell r="M32" t="str"><v>BRm</v></cell><cell r="N32"><v>5</v></cell></row><row r="32"><cell r="P32" t="str"><v>IBMR</v></cell></row><row r="32"><cell r="S32"><v>121</v></cell></row><row r="33"><cell r="A33" t="str"><v>ANASPX</v></cell><cell r="B33" t="str"><v>Anabaena sp.</v></cell></row><row r="33"><cell r="E33" t="str"><v>Bory de St Vincent   </v></cell></row><row r="33"><cell r="M33" t="str"><v>ALG</v></cell><cell r="N33"><v>2</v></cell></row><row r="33"><cell r="S33"><v>111</v></cell></row><row r="34"><cell r="A34" t="str"><v>ANEPIN</v></cell><cell r="B34" t="str"><v>Aneura pinguis</v></cell><cell r="C34"><v>14</v></cell><cell r="D34"><v>2</v></cell><cell r="E34" t="str"><v>(L.) Dumort.    </v></cell><cell r="F34" t="str"><v>Riccardia pinguis (L.) Gray</v></cell><cell r="G34" t="str"><v>Jungermannia pinguis L.</v></cell></row><row r="34"><cell r="M34" t="str"><v>BRh</v></cell><cell r="N34"><v>4</v></cell></row><row r="34"><cell r="P34" t="str"><v>IBMR</v></cell></row><row r="34"><cell r="S34"><v>126</v></cell></row><row r="35"><cell r="A35" t="str"><v>ANGARC</v></cell><cell r="B35" t="str"><v>Angelica archangelica subsp. Litoralis</v></cell></row><row r="35"><cell r="E35" t="str"><v>(Fr.) Thell.     </v></cell></row><row r="35"><cell r="M35" t="str"><v>PHg</v></cell><cell r="N35"><v>9</v></cell><cell r="O35" t="str"><v>HYG</v></cell></row><row r="35"><cell r="Q35" t="str"><v>DICOT</v></cell></row><row r="35"><cell r="S35"><v>19514</v></cell></row><row r="36"><cell r="A36" t="str"><v>ANGSYL</v></cell><cell r="B36" t="str"><v>Angelica sylvestris</v></cell></row><row r="36"><cell r="E36" t="str"><v>L.      </v></cell></row><row r="36"><cell r="M36" t="str"><v>PHg</v></cell><cell r="N36"><v>9</v></cell><cell r="O36" t="str"><v>HYG</v></cell></row><row r="36"><cell r="Q36" t="str"><v>DICOT</v></cell></row><row r="36"><cell r="S36"><v>1971</v></cell></row><row r="37"><cell r="A37" t="str"><v>APHSPX</v></cell><cell r="B37" t="str"><v>Aphanizomenon sp.</v></cell></row><row r="37"><cell r="E37" t="str"><v>Morren      </v></cell></row><row r="37"><cell r="M37" t="str"><v>ALG</v></cell><cell r="N37"><v>2</v></cell></row><row r="37"><cell r="S37"><v>113</v></cell></row><row r="38"><cell r="A38" t="str"><v>APIINU</v></cell><cell r="B38" t="str"><v>Apium inundatum</v></cell><cell r="C38"><v>17</v></cell><cell r="D38"><v>3</v></cell><cell r="E38" t="str"><v>L.      </v></cell><cell r="F38" t="str"><v>Sium inundatum</v></cell></row><row r="38"><cell r="M38" t="str"><v>PHy</v></cell><cell r="N38"><v>7</v></cell><cell r="O38" t="str"><v>HYD</v></cell><cell r="P38" t="str"><v>IBMR</v></cell><cell r="Q38" t="str"><v>DICOT</v></cell></row><row r="38"><cell r="S38"><v>1973</v></cell></row><row r="39"><cell r="A39" t="str"><v>APIMOO</v></cell><cell r="B39" t="str"><v>Apium x moorei</v></cell></row><row r="39"><cell r="E39" t="str"><v>      </v></cell></row><row r="39"><cell r="M39" t="str"><v>PHe</v></cell><cell r="N39"><v>8</v></cell><cell r="O39" t="str"><v>HYD/HEL</v></cell></row><row r="39"><cell r="Q39" t="str"><v>DICOT</v></cell></row><row r="39"><cell r="S39"><v>19518</v></cell></row><row r="40"><cell r="A40" t="str"><v>APINOD</v></cell><cell r="B40" t="str"><v>Apium nodiflorum</v></cell><cell r="C40"><v>10</v></cell><cell r="D40"><v>1</v></cell><cell r="E40" t="str"><v>(L.) Lag.     </v></cell><cell r="F40" t="str"><v>Sium nodiflorum</v></cell><cell r="G40" t="str"><v>Helosciadium nodiflorum</v></cell></row><row r="40"><cell r="M40" t="str"><v>PHy</v></cell><cell r="N40"><v>7</v></cell><cell r="O40" t="str"><v>HYD</v></cell><cell r="P40" t="str"><v>IBMR</v></cell><cell r="Q40" t="str"><v>DICOT</v></cell></row><row r="40"><cell r="S40"><v>1974</v></cell></row><row r="41"><cell r="A41" t="str"><v>APIREP</v></cell><cell r="B41" t="str"><v>Apium repens</v></cell></row><row r="41"><cell r="E41" t="str"><v>(Jacq.) Lag.     </v></cell></row><row r="41"><cell r="M41" t="str"><v>PHe</v></cell><cell r="N41"><v>8</v></cell><cell r="O41" t="str"><v>HYD/HEL</v></cell></row><row r="41"><cell r="Q41" t="str"><v>DICOT</v></cell></row><row r="41"><cell r="S41"><v>1975</v></cell></row><row r="42"><cell r="A42" t="str"><v>APISPX</v></cell><cell r="B42" t="str"><v>Apium sp.</v></cell></row><row r="42"><cell r="E42" t="str"><v>      </v></cell></row><row r="42"><cell r="M42" t="str"><v>PHe</v></cell><cell r="N42"><v>8</v></cell><cell r="O42" t="str"><v>HYD/HEL</v></cell></row><row r="42"><cell r="Q42" t="str"><v>DICOT</v></cell></row><row r="42"><cell r="S42"><v>1972</v></cell></row><row r="43"><cell r="A43" t="str"><v>APODIS</v></cell><cell r="B43" t="str"><v>Aponogeton distachyos</v></cell></row><row r="43"><cell r="E43" t="str"><v>      </v></cell></row><row r="43"><cell r="M43" t="str"><v>PHy</v></cell><cell r="N43"><v>7</v></cell><cell r="O43" t="str"><v>HYD</v></cell></row><row r="43"><cell r="Q43" t="str"><v>MONOCOT</v></cell></row><row r="43"><cell r="S43"><v>1456</v></cell></row><row r="44"><cell r="A44" t="str"><v>ARUDON</v></cell><cell r="B44" t="str"><v>Arundo donax</v></cell></row><row r="44"><cell r="E44" t="str"><v>      </v></cell></row><row r="44"><cell r="M44" t="str"><v>PHg</v></cell><cell r="N44"><v>9</v></cell><cell r="O44" t="str"><v>HYG/HEL</v></cell></row><row r="44"><cell r="Q44" t="str"><v>MONOCOT</v></cell></row><row r="44"><cell r="S44"><v>1551</v></cell></row><row r="45"><cell r="A45" t="str"><v>ATHFIL</v></cell><cell r="B45" t="str"><v>Athyrium filix-femina</v></cell></row><row r="45"><cell r="E45" t="str"><v>(L.) Roth.     </v></cell></row><row r="45"><cell r="M45" t="str"><v>PTE</v></cell><cell r="N45"><v>6</v></cell></row><row r="45"><cell r="S45"><v>1412</v></cell></row><row r="46"><cell r="A46" t="str"><v>ATICAL</v></cell><cell r="B46" t="str"><v>Atriplex calotheca</v></cell></row><row r="46"><cell r="E46" t="str"><v>(Rafn) Fries     </v></cell></row><row r="46"><cell r="M46" t="str"><v>PHg</v></cell><cell r="N46"><v>9</v></cell><cell r="O46" t="str"><v>HYG</v></cell></row><row r="46"><cell r="Q46" t="str"><v>DICOT</v></cell></row><row r="46"><cell r="S46"><v>19519</v></cell></row><row r="47"><cell r="A47" t="str"><v>ATRUND</v></cell><cell r="B47" t="str"><v>Atrichum undulatum</v></cell></row><row r="47"><cell r="E47" t="str"><v>(Hedw.) P. Beauv.   </v></cell><cell r="F47" t="str"><v>Atrichum haussknechtii Jur. & Milde</v></cell></row><row r="47"><cell r="M47" t="str"><v>BRm</v></cell><cell r="N47"><v>5</v></cell></row><row r="47"><cell r="S47"><v>1358</v></cell></row><row r="48"><cell r="A48" t="str"><v>AUDSPX</v></cell><cell r="B48" t="str"><v>Audouinella sp.</v></cell><cell r="C48"><v>13</v></cell><cell r="D48"><v>2</v></cell><cell r="E48" t="str"><v>Bory de St Vincent   </v></cell><cell r="F48" t="str"><v>Chantransia (DC.) Fr.</v></cell><cell r="G48" t="str"><v>Rhodochorton Nägeli pro parte</v></cell></row><row r="48"><cell r="M48" t="str"><v>ALG</v></cell><cell r="N48"><v>2</v></cell></row><row r="48"><cell r="P48" t="str"><v>IBMR</v></cell></row><row r="48"><cell r="S48"><v>676</v></cell></row><row r="49"><cell r="A49" t="str"><v>AULPAL</v></cell><cell r="B49" t="str"><v>Aulacommium palustre</v></cell></row><row r="49"><cell r="E49" t="str"><v>(Hedw.) Schwaegr.     </v></cell></row><row r="49"><cell r="M49" t="str"><v>BRm</v></cell><cell r="N49"><v>5</v></cell></row><row r="49"><cell r="S49"><v>19521</v></cell></row><row r="50"><cell r="A50" t="str"><v>AZOCAR</v></cell><cell r="B50" t="str"><v>Azolla caroliniana</v></cell></row><row r="50"><cell r="E50" t="str"><v>      </v></cell></row><row r="50"><cell r="M50" t="str"><v>PTE</v></cell><cell r="N50"><v>6</v></cell></row><row r="50"><cell r="S50"><v>1438</v></cell></row><row r="51"><cell r="A51" t="str"><v>AZOFIL</v></cell><cell r="B51" t="str"><v>Azolla filiculoides</v></cell><cell r="C51"><v>6</v></cell><cell r="D51"><v>3</v></cell><cell r="E51" t="str"><v>lam.      </v></cell></row><row r="51"><cell r="M51" t="str"><v>PTE</v></cell><cell r="N51"><v>6</v></cell></row><row r="51"><cell r="P51" t="str"><v>IBMR</v></cell></row><row r="51"><cell r="S51"><v>1439</v></cell></row><row r="52"><cell r="A52" t="str"><v>AZOSPX</v></cell><cell r="B52" t="str"><v>Azolla sp.</v></cell></row><row r="52"><cell r="E52" t="str"><v>      </v></cell></row><row r="52"><cell r="M52" t="str"><v>PTE</v></cell><cell r="N52"><v>6</v></cell></row><row r="52"><cell r="S52"><v>1437</v></cell></row><row r="53"><cell r="A53" t="str"><v>BACMON</v></cell><cell r="B53" t="str"><v>Bacopa monnieri</v></cell></row><row r="53"><cell r="E53" t="str"><v>      </v></cell></row><row r="53"><cell r="M53" t="str"><v>PHe</v></cell><cell r="N53"><v>8</v></cell><cell r="O53" t="str"><v>HYD/HEL</v></cell></row><row r="53"><cell r="Q53" t="str"><v>DICOT</v></cell></row><row r="53"><cell r="S53"><v>19522</v></cell></row><row r="54"><cell r="A54" t="str"><v>BALALP</v></cell><cell r="B54" t="str"><v>Baldellia alpestris</v></cell></row><row r="54"><cell r="E54" t="str"><v>      </v></cell></row><row r="54"><cell r="M54" t="str"><v>PHx</v></cell><cell r="N54"><v>1</v></cell></row><row r="54"><cell r="Q54" t="str"><v>MONOCOT</v></cell></row><row r="54"><cell r="S54"><v>19523</v></cell></row><row r="55"><cell r="A55" t="str"><v>BALRAN</v></cell><cell r="B55" t="str"><v>Baldellia ranunculoides</v></cell></row><row r="55"><cell r="E55" t="str"><v>L. parl     </v></cell></row><row r="55"><cell r="M55" t="str"><v>PHe</v></cell><cell r="N55"><v>8</v></cell><cell r="O55" t="str"><v>HYD/HEL</v></cell></row><row r="55"><cell r="Q55" t="str"><v>MONOCOT</v></cell></row><row r="55"><cell r="S55"><v>1449</v></cell></row><row r="56"><cell r="A56" t="str"><v>BALRAR</v></cell><cell r="B56" t="str"><v>Baldellia ranunculoides subsp. Ranunculoides</v></cell></row><row r="56"><cell r="E56" t="str"><v>      </v></cell></row><row r="56"><cell r="M56" t="str"><v>PHe</v></cell><cell r="N56"><v>8</v></cell><cell r="O56" t="str"><v>HYD/HEL</v></cell></row><row r="56"><cell r="Q56" t="str"><v>MONOCOT</v></cell></row><row r="56"><cell r="S56"><v>29995</v></cell></row><row r="57"><cell r="A57" t="str"><v>BALREP</v></cell><cell r="B57" t="str"><v>Baldellia repens</v></cell></row><row r="57"><cell r="E57" t="str"><v>      </v></cell></row><row r="57"><cell r="M57" t="str"><v>PHe</v></cell><cell r="N57"><v>8</v></cell><cell r="O57" t="str"><v>HYD/HEL</v></cell></row><row r="57"><cell r="Q57" t="str"><v>MONOCOT</v></cell></row><row r="57"><cell r="S57"><v>19524</v></cell></row><row r="58"><cell r="A58" t="str"><v>BANSPX</v></cell><cell r="B58" t="str"><v>Bangia sp.</v></cell><cell r="C58"><v>10</v></cell><cell r="D58"><v>2</v></cell><cell r="E58" t="str"><v>Lyngbye      </v></cell><cell r="F58" t="str"><v>Bangia atropurpurea (Roth) C. Agardh</v></cell><cell r="G58" t="str"><v>Conferva atropurpurea Roth</v></cell><cell r="H58" t="str"><v>Bangiella Gaillon</v></cell></row><row r="58"><cell r="M58" t="str"><v>ALG</v></cell><cell r="N58"><v>2</v></cell></row><row r="58"><cell r="P58" t="str"><v>IBMR</v></cell></row><row r="58"><cell r="S58"><v>1153</v></cell></row><row r="59"><cell r="A59" t="str"><v>BARINT</v></cell><cell r="B59" t="str"><v>Barbarea intermedia</v></cell></row><row r="59"><cell r="E59" t="str"><v>Boreau      </v></cell></row><row r="59"><cell r="M59" t="str"><v>PHg</v></cell><cell r="N59"><v>9</v></cell><cell r="O59" t="str"><v>HYG</v></cell></row><row r="59"><cell r="Q59" t="str"><v>DICOT</v></cell></row><row r="59"><cell r="S59"><v>19525</v></cell></row><row r="60"><cell r="A60" t="str"><v>BARVUL</v></cell><cell r="B60" t="str"><v>Barbarea vulgaris</v></cell></row><row r="60"><cell r="E60" t="str"><v>R. Br.     </v></cell></row><row r="60"><cell r="M60" t="str"><v>PHg</v></cell><cell r="N60"><v>9</v></cell><cell r="O60" t="str"><v>HYG</v></cell></row><row r="60"><cell r="Q60" t="str"><v>DICOT</v></cell></row><row r="60"><cell r="S60"><v>19527</v></cell></row><row r="61"><cell r="A61" t="str"><v>BATSPX</v></cell><cell r="B61" t="str"><v>Batrachospermum sp.</v></cell><cell r="C61"><v>16</v></cell><cell r="D61"><v>2</v></cell><cell r="E61" t="str"><v>Roth      </v></cell><cell r="F61" t="str"><v>Batrachospermella Gaillon</v></cell><cell r="G61" t="str"><v>Charospermum Link in Nees</v></cell></row><row r="61"><cell r="M61" t="str"><v>ALG</v></cell><cell r="N61"><v>2</v></cell></row><row r="61"><cell r="P61" t="str"><v>IBMR</v></cell></row><row r="61"><cell r="S61"><v>1155</v></cell></row><row r="62"><cell r="A62" t="str"><v>BECERU</v></cell><cell r="B62" t="str"><v>Beckmannia eruciformis</v></cell></row><row r="62"><cell r="E62" t="str"><v>      </v></cell></row><row r="62"><cell r="M62" t="str"><v>PHx</v></cell><cell r="N62"><v>1</v></cell></row><row r="62"><cell r="Q62" t="str"><v>MONOCOT</v></cell></row><row r="62"><cell r="S62"><v>19528</v></cell></row><row r="63"><cell r="A63" t="str"><v>BECSYZ</v></cell><cell r="B63" t="str"><v>Beckmannia syzigachne</v></cell></row><row r="63"><cell r="E63" t="str"><v>      </v></cell></row><row r="63"><cell r="M63" t="str"><v>PHx</v></cell><cell r="N63"><v>1</v></cell></row><row r="63"><cell r="Q63" t="str"><v>MONOCOT</v></cell></row><row r="63"><cell r="S63"><v>19529</v></cell></row><row r="64"><cell r="A64" t="str"><v>BEGCAP</v></cell><cell r="B64" t="str"><v>Bergia capensis</v></cell></row><row r="64"><cell r="E64" t="str"><v>      </v></cell></row><row r="64"><cell r="M64" t="str"><v>PHe</v></cell><cell r="N64"><v>8</v></cell><cell r="O64" t="str"><v>HYD/HEL</v></cell></row><row r="64"><cell r="Q64" t="str"><v>DICOT</v></cell></row><row r="64"><cell r="S64"><v>1953</v></cell></row><row r="65"><cell r="A65" t="str"><v>BERERE</v></cell><cell r="B65" t="str"><v>Berula erecta</v></cell><cell r="C65"><v>14</v></cell><cell r="D65"><v>2</v></cell><cell r="E65" t="str"><v>(Huds.) Coville     </v></cell><cell r="F65" t="str"><v>Sium erectum Huds.</v></cell><cell r="G65" t="str"><v>Siella erecta</v></cell></row><row r="65"><cell r="M65" t="str"><v>PHe</v></cell><cell r="N65"><v>8</v></cell><cell r="O65" t="str"><v>HYD/HEL</v></cell><cell r="P65" t="str"><v>IBMR</v></cell><cell r="Q65" t="str"><v>DICOT</v></cell></row><row r="65"><cell r="S65"><v>1977</v></cell></row><row r="66"><cell r="A66" t="str"><v>BERSPX</v></cell><cell r="B66" t="str"><v>Berula sp.</v></cell></row><row r="66"><cell r="E66" t="str"><v>      </v></cell></row><row r="66"><cell r="M66" t="str"><v>PHe</v></cell><cell r="N66"><v>8</v></cell><cell r="O66" t="str"><v>HYD/HEL</v></cell></row><row r="66"><cell r="Q66" t="str"><v>DICOT</v></cell></row><row r="66"><cell r="S66"><v>1976</v></cell></row><row r="67"><cell r="A67" t="str"><v>BIDCER</v></cell><cell r="B67" t="str"><v>Bidens cernua</v></cell></row><row r="67"><cell r="E67" t="str"><v>L.      </v></cell></row><row r="67"><cell r="M67" t="str"><v>PHg</v></cell><cell r="N67"><v>9</v></cell><cell r="O67" t="str"><v>HYG</v></cell></row><row r="67"><cell r="Q67" t="str"><v>DICOT</v></cell></row><row r="67"><cell r="S67"><v>1725</v></cell></row><row r="68"><cell r="A68" t="str"><v>BIDSPX</v></cell><cell r="B68" t="str"><v>Bidens sp.</v></cell></row><row r="68"><cell r="E68" t="str"><v>      </v></cell></row><row r="68"><cell r="M68" t="str"><v>PHg</v></cell><cell r="N68"><v>9</v></cell><cell r="O68" t="str"><v>HYG</v></cell></row><row r="68"><cell r="Q68" t="str"><v>DICOT</v></cell></row><row r="68"><cell r="S68"><v>1724</v></cell></row><row r="69"><cell r="A69" t="str"><v>BIDTRI</v></cell><cell r="B69" t="str"><v>Bidens tripartita</v></cell></row><row r="69"><cell r="E69" t="str"><v>L.      </v></cell></row><row r="69"><cell r="M69" t="str"><v>PHg</v></cell><cell r="N69"><v>9</v></cell><cell r="O69" t="str"><v>HYG</v></cell></row><row r="69"><cell r="Q69" t="str"><v>DICOT</v></cell></row><row r="69"><cell r="S69"><v>1729</v></cell></row><row r="70"><cell r="A70" t="str"><v>BINSPX</v></cell><cell r="B70" t="str"><v>Binuclearia sp.</v></cell><cell r="C70"><v>14</v></cell><cell r="D70"><v>2</v></cell><cell r="E70" t="str"><v>Wittrock      </v></cell></row><row r="70"><cell r="M70" t="str"><v>ALG</v></cell><cell r="N70"><v>2</v></cell></row><row r="70"><cell r="P70" t="str"><v>IBMR</v></cell></row><row r="70"><cell r="S70"><v>5987</v></cell></row><row r="71"><cell r="A71" t="str"><v>BLESPI</v></cell><cell r="B71" t="str"><v>Blechnum spicant</v></cell></row><row r="71"><cell r="E71" t="str"><v>(L.) Roth.     </v></cell></row><row r="71"><cell r="M71" t="str"><v>PTE</v></cell><cell r="N71"><v>6</v></cell></row><row r="71"><cell r="S71"><v>1414</v></cell></row><row r="72"><cell r="A72" t="str"><v>BLIACU</v></cell><cell r="B72" t="str"><v>Blindia acuta</v></cell></row><row r="72"><cell r="E72" t="str"><v>(Hedw.) B., S. & G.        </v></cell></row><row r="72"><cell r="M72" t="str"><v>BRm</v></cell><cell r="N72"><v>5</v></cell></row><row r="72"><cell r="S72"><v>1271</v></cell></row><row r="73"><cell r="A73" t="str"><v>BOLMAR</v></cell><cell r="B73" t="str"><v>Bolboschoenus maritimus</v></cell></row><row r="73"><cell r="E73" t="str"><v>(L.) Palla     </v></cell></row><row r="73"><cell r="M73" t="str"><v>PHe</v></cell><cell r="N73"><v>8</v></cell><cell r="O73" t="str"><v>HEL</v></cell></row><row r="73"><cell r="Q73" t="str"><v>MONOCOT</v></cell></row><row r="73"><cell r="S73"><v>19533</v></cell></row><row r="74"><cell r="A74" t="str"><v>BRAPLU</v></cell><cell r="B74" t="str"><v>Brachythecium plumosum</v></cell><cell r="C74"><v>18</v></cell><cell r="D74"><v>3</v></cell><cell r="E74" t="str"><v>(Hedw.) B., S. & G.</v></cell></row><row r="74"><cell r="M74" t="str"><v>BRm</v></cell><cell r="N74"><v>5</v></cell></row><row r="74"><cell r="P74" t="str"><v>IBMR</v></cell></row><row r="74"><cell r="S74"><v>1259</v></cell></row><row r="75"><cell r="A75" t="str"><v>BRARIV</v></cell><cell r="B75" t="str"><v>Brachythecium rivulare</v></cell><cell r="C75"><v>15</v></cell><cell r="D75"><v>2</v></cell><cell r="E75" t="str"><v>B., S. & G.</v></cell></row><row r="75"><cell r="M75" t="str"><v>BRm</v></cell><cell r="N75"><v>5</v></cell></row><row r="75"><cell r="P75" t="str"><v>IBMR</v></cell></row><row r="75"><cell r="S75"><v>126</v></cell></row><row r="76"><cell r="A76" t="str"><v>BRARUT</v></cell><cell r="B76" t="str"><v>Brachythecium rutabulum</v></cell></row><row r="76"><cell r="E76" t="str"><v>(Hedw.) B., S. & G.        </v></cell><cell r="F76" t="str"><v>Bryum serrulatum Lag.</v></cell><cell r="G76" t="str"><v>Bryum starkei var. explanatum (Brid.) Mönk.</v></cell></row><row r="76"><cell r="M76" t="str"><v>BRm</v></cell><cell r="N76"><v>5</v></cell></row><row r="76"><cell r="S76"><v>1261</v></cell></row><row r="77"><cell r="A77" t="str"><v>BRASPX</v></cell><cell r="B77" t="str"><v>Brachythecium sp.</v></cell></row><row r="77"><cell r="E77" t="str"><v>B., S. & G.</v></cell></row><row r="77"><cell r="M77" t="str"><v>BRm</v></cell><cell r="N77"><v>5</v></cell></row><row r="77"><cell r="S77"><v>1258</v></cell></row><row r="78"><cell r="A78" t="str"><v>BRCERU</v></cell><cell r="B78" t="str"><v>Bracharia eruciformis</v></cell></row><row r="78"><cell r="E78" t="str"><v>      </v></cell></row><row r="78"><cell r="M78" t="str"><v>PHe</v></cell><cell r="N78"><v>8</v></cell><cell r="O78" t="str"><v>HEL</v></cell></row><row r="78"><cell r="Q78" t="str"><v>MONOCOT</v></cell></row><row r="78"><cell r="S78"><v>19534</v></cell></row><row r="79"><cell r="A79" t="str"><v>BRODIO</v></cell><cell r="B79" t="str"><v>Bryonia dioica</v></cell></row><row r="79"><cell r="E79" t="str"><v>Jacq.      </v></cell></row><row r="79"><cell r="M79" t="str"><v>PHg</v></cell><cell r="N79"><v>9</v></cell><cell r="O79" t="str"><v>HYG</v></cell></row><row r="79"><cell r="Q79" t="str"><v>DICOT</v></cell></row><row r="79"><cell r="S79"><v>19535</v></cell></row><row r="80"><cell r="A80" t="str"><v>BRYPAL</v></cell><cell r="B80" t="str"><v>Bryum pallens</v></cell></row><row r="80"><cell r="E80" t="str"><v>Sw.      </v></cell><cell r="F80" t="str"><v>Bryum lundstroemii H. Arn.</v></cell></row><row r="80"><cell r="M80" t="str"><v>BRm</v></cell><cell r="N80"><v>5</v></cell></row><row r="80"><cell r="S80"><v>19539</v></cell></row><row r="81"><cell r="A81" t="str"><v>BRYPAS</v></cell><cell r="B81" t="str"><v>Bryum pallescens</v></cell></row><row r="81"><cell r="E81" t="str"><v>Schleich. ex Schwaegr. </v></cell><cell r="F81" t="str"><v>Bryum alandicum Bomanss.</v></cell><cell r="G81" t="str"><v>Bryum baenitzii C. Müll.</v></cell><cell r="H81" t="str"><v>Bryum bulbifolium Lindb.</v></cell><cell r="I81" t="str"><v>Bryum calcicola H. Arn.</v></cell><cell r="J81" t="str"><v>Bryum cirrhatum Hoppe & Hornsch.</v></cell><cell r="K81" t="str"><v>Bryum clathratum Amann</v></cell></row><row r="81"><cell r="M81" t="str"><v>BRm</v></cell><cell r="N81"><v>5</v></cell></row><row r="81"><cell r="S81"><v>1954</v></cell></row><row r="82"><cell r="A82" t="str"><v>BRYPSE</v></cell><cell r="B82" t="str"><v>Bryum pseudotriquetrum</v></cell></row><row r="82"><cell r="E82" t="str"><v>(Hedw.) Gaertn., Meyer & Scherb.</v></cell><cell r="F82" t="str"><v>Bryum bimum (Schreb.) Turn.       </v></cell><cell r="G82" t="str"><v>Bryum ventricosum Relh.</v></cell></row><row r="82"><cell r="M82" t="str"><v>BRm</v></cell><cell r="N82"><v>5</v></cell></row><row r="82"><cell r="S82"><v>1274</v></cell></row><row r="83"><cell r="A83" t="str"><v>BRYSCH</v></cell><cell r="B83" t="str"><v>Bryum schleicheri</v></cell></row><row r="83"><cell r="E83" t="str"><v>Lam. & DC.</v></cell></row><row r="83"><cell r="M83" t="str"><v>BRm</v></cell><cell r="N83"><v>5</v></cell></row><row r="83"><cell r="S83"><v>19541</v></cell></row><row r="84"><cell r="A84" t="str"><v>BRYSPX</v></cell><cell r="B84" t="str"><v>Bryum sp.</v></cell></row><row r="84"><cell r="E84" t="str"><v>Hedw.</v></cell></row><row r="84"><cell r="M84" t="str"><v>BRm</v></cell><cell r="N84"><v>5</v></cell></row><row r="84"><cell r="S84"><v>1272</v></cell></row><row r="85"><cell r="A85" t="str"><v>BRYWEI</v></cell><cell r="B85" t="str"><v>Bryum weigelii</v></cell></row><row r="85"><cell r="E85" t="str"><v>Spreng.      </v></cell><cell r="F85" t="str"><v>Bryum duvalii Voit</v></cell></row><row r="85"><cell r="M85" t="str"><v>BRm</v></cell><cell r="N85"><v>5</v></cell></row><row r="85"><cell r="S85"><v>19543</v></cell></row><row r="86"><cell r="A86" t="str"><v>BUTUMB</v></cell><cell r="B86" t="str"><v>Butomus umbellatus</v></cell><cell r="C86"><v>9</v></cell><cell r="D86"><v>2</v></cell><cell r="E86" t="str"><v>L.      </v></cell></row><row r="86"><cell r="M86" t="str"><v>PHe</v></cell><cell r="N86"><v>8</v></cell><cell r="O86" t="str"><v>HYD/HEL</v></cell><cell r="P86" t="str"><v>IBMR</v></cell><cell r="Q86" t="str"><v>MONOCOT</v></cell></row><row r="86"><cell r="S86"><v>1464</v></cell></row><row r="87"><cell r="A87" t="str"><v>CAAPAL</v></cell><cell r="B87" t="str"><v>Calla palustris</v></cell></row><row r="87"><cell r="E87" t="str"><v>      </v></cell></row><row r="87"><cell r="M87" t="str"><v>PHe</v></cell><cell r="N87"><v>8</v></cell><cell r="O87" t="str"><v>HEL</v></cell></row><row r="87"><cell r="Q87" t="str"><v>MONOCOT</v></cell></row><row r="87"><cell r="S87"><v>1461</v></cell></row><row r="88"><cell r="A88" t="str"><v>CABCAR</v></cell><cell r="B88" t="str"><v>Cabomba caroliniana</v></cell></row><row r="88"><cell r="E88" t="str"><v>Gray      </v></cell></row><row r="88"><cell r="M88" t="str"><v>PHy</v></cell><cell r="N88"><v>7</v></cell><cell r="O88" t="str"><v>HYD</v></cell></row><row r="88"><cell r="Q88" t="str"><v>DICOT</v></cell></row><row r="88"><cell r="S88"><v>19544</v></cell></row><row r="89"><cell r="A89" t="str"><v>CADPAR</v></cell><cell r="B89" t="str"><v>Caldesia parnassifolia</v></cell></row><row r="89"><cell r="E89" t="str"><v>      </v></cell></row><row r="89"><cell r="M89" t="str"><v>PHy</v></cell><cell r="N89"><v>7</v></cell><cell r="O89" t="str"><v>HYD</v></cell></row><row r="89"><cell r="Q89" t="str"><v>MONOCOT</v></cell></row><row r="89"><cell r="S89"><v>19546</v></cell></row><row r="90"><cell r="A90" t="str"><v>CAECUS</v></cell><cell r="B90" t="str"><v>Calliergonella cuspidata</v></cell></row><row r="90"><cell r="E90" t="str"><v>(Hedw.) Loeske     </v></cell><cell r="F90" t="str"><v>Calliergon cuspidatum (Hedw.) Kindb.     </v></cell><cell r="G90" t="str"><v>Acrocladium cuspidatum (Hedw.) Lindb.</v></cell></row><row r="90"><cell r="M90" t="str"><v>BRm</v></cell><cell r="N90"><v>5</v></cell></row><row r="90"><cell r="S90"><v>1228</v></cell></row><row r="91"><cell r="A91" t="str"><v>CAHMIN</v></cell><cell r="B91" t="str"><v>Caltha minor</v></cell></row><row r="91"><cell r="E91" t="str"><v>auct. non Mill.    </v></cell></row><row r="91"><cell r="M91" t="str"><v>PHe</v></cell><cell r="N91"><v>8</v></cell><cell r="O91" t="str"><v>HYD/HEL</v></cell></row><row r="91"><cell r="Q91" t="str"><v>DICOT</v></cell></row><row r="91"><cell r="S91"><v>1892</v></cell></row><row r="92"><cell r="A92" t="str"><v>CAHPAL</v></cell><cell r="B92" t="str"><v>Caltha palustris</v></cell></row><row r="92"><cell r="E92" t="str"><v>L.      </v></cell></row><row r="92"><cell r="M92" t="str"><v>PHe</v></cell><cell r="N92"><v>8</v></cell><cell r="O92" t="str"><v>HYD/HEL</v></cell></row><row r="92"><cell r="Q92" t="str"><v>DICOT</v></cell></row><row r="92"><cell r="S92"><v>1893</v></cell></row><row r="93"><cell r="A93" t="str"><v>CAICOR</v></cell><cell r="B93" t="str"><v>Calliergon cordifolium</v></cell></row><row r="93"><cell r="E93" t="str"><v>(Hedw.) Kindb.     </v></cell><cell r="F93" t="str"><v>Acrocladium cordifolium (Hedw.) P. Rich. & Wallace</v></cell></row><row r="93"><cell r="M93" t="str"><v>BRm</v></cell><cell r="N93"><v>5</v></cell></row><row r="93"><cell r="S93"><v>1225</v></cell></row><row r="94"><cell r="A94" t="str"><v>CAIGIG</v></cell><cell r="B94" t="str"><v>Calliergon giganteum</v></cell></row><row r="94"><cell r="E94" t="str"><v>(Schimp.)      </v></cell><cell r="F94" t="str"><v>Calliergon megalophyllum Mik.</v></cell><cell r="G94" t="str"><v>Calliergon moldavicum (Velen.) Podp.</v></cell><cell r="H94" t="str"><v>Acrocladium giganteum (Schimp.) P. Rich. & Wallace</v></cell></row><row r="94"><cell r="M94" t="str"><v>BRm</v></cell><cell r="N94"><v>5</v></cell></row><row r="94"><cell r="S94"><v>1226</v></cell></row><row r="95"><cell r="A95" t="str"><v>CAISAR</v></cell><cell r="B95" t="str"><v>Calliergon sarmentosum</v></cell></row><row r="95"><cell r="E95" t="str"><v>(Wahenl.) Kindb.     </v></cell><cell r="F95" t="str"><v>Acrocladium sarmentosum (Wahlenb.) P. Rich. & Wallace</v></cell><cell r="G95" t="str"><v>Sarmentypnum sarmentosum (Wahlenb.) Tuom. & T. Kop.</v></cell></row><row r="95"><cell r="M95" t="str"><v>BRm</v></cell><cell r="N95"><v>5</v></cell></row><row r="95"><cell r="S95"><v>19547</v></cell></row><row r="96"><cell r="A96" t="str"><v>CAISPX</v></cell><cell r="B96" t="str"><v>Calliergon sp.</v></cell></row><row r="96"><cell r="E96" t="str"><v>(Sull.) Kindb.</v></cell><cell r="F96" t="str"><v>Acrocladium sp. auct.</v></cell><cell r="G96" t="str"><v>Sarmentypnum sp. Tuom. & T. Kop.</v></cell></row><row r="96"><cell r="M96" t="str"><v>BRm</v></cell><cell r="N96"><v>5</v></cell></row><row r="96"><cell r="S96"><v>1224</v></cell></row><row r="97"><cell r="A97" t="str"><v>CAISTR</v></cell><cell r="B97" t="str"><v>Calliergon stramineum</v></cell></row><row r="97"><cell r="E97" t="str"><v>(Brid.) Kindb.     </v></cell><cell r="F97" t="str"><v>Acrocladium stramineum (Brid.) P. Rich. & Wallace</v></cell></row><row r="97"><cell r="M97" t="str"><v>BRm</v></cell><cell r="N97"><v>5</v></cell></row><row r="97"><cell r="S97"><v>19548</v></cell></row><row r="98"><cell r="A98" t="str"><v>CALBRU</v></cell><cell r="B98" t="str"><v>Callitriche brutia</v></cell></row><row r="98"><cell r="E98" t="str"><v>Pet.      </v></cell></row><row r="98"><cell r="M98" t="str"><v>PHy</v></cell><cell r="N98"><v>7</v></cell><cell r="O98" t="str"><v>HYD</v></cell></row><row r="98"><cell r="Q98" t="str"><v>DICOT</v></cell></row><row r="98"><cell r="S98"><v>1697</v></cell></row><row r="99"><cell r="A99" t="str"><v>CALCOP</v></cell><cell r="B99" t="str"><v>Callitriche cophocarpa</v></cell></row><row r="99"><cell r="E99" t="str"><v>Sendtn.      </v></cell></row><row r="99"><cell r="M99" t="str"><v>PHy</v></cell><cell r="N99"><v>7</v></cell><cell r="O99" t="str"><v>HYD</v></cell></row><row r="99"><cell r="Q99" t="str"><v>DICOT</v></cell></row><row r="99"><cell r="S99"><v>19549</v></cell></row><row r="100"><cell r="A100" t="str"><v>CALCRI</v></cell><cell r="B100" t="str"><v>Callitriche cribrosa</v></cell></row><row r="100"><cell r="E100" t="str"><v>      </v></cell></row><row r="100"><cell r="M100" t="str"><v>PHy</v></cell><cell r="N100"><v>7</v></cell><cell r="O100" t="str"><v>HYD</v></cell></row><row r="100"><cell r="Q100" t="str"><v>DICOT</v></cell></row><row r="100"><cell r="S100"><v>1955</v></cell></row><row r="101"><cell r="A101" t="str"><v>CALFIM</v></cell><cell r="B101" t="str"><v>Callitriche truncata subsp. Fimbriata</v></cell></row><row r="101"><cell r="E101" t="str"><v>      </v></cell></row><row r="101"><cell r="M101" t="str"><v>PHy</v></cell><cell r="N101"><v>7</v></cell><cell r="O101" t="str"><v>HYD</v></cell></row><row r="101"><cell r="Q101" t="str"><v>DICOT</v></cell></row><row r="101"><cell r="S101"><v>19558</v></cell></row><row r="102"><cell r="A102" t="str"><v>CALHAM</v></cell><cell r="B102" t="str"><v>Callitriche hamulata</v></cell><cell r="C102"><v>12</v></cell><cell r="D102"><v>1</v></cell><cell r="E102" t="str"><v>Kützing ex Koch    </v></cell><cell r="F102" t="str"><v>Callitriche intermedia subsp. hamulata</v></cell></row><row r="102"><cell r="M102" t="str"><v>PHy</v></cell><cell r="N102"><v>7</v></cell><cell r="O102" t="str"><v>HYD</v></cell><cell r="P102" t="str"><v>IBMR</v></cell><cell r="Q102" t="str"><v>DICOT</v></cell></row><row r="102"><cell r="S102"><v>1698</v></cell></row><row r="103"><cell r="A103" t="str"><v>CALHER</v></cell><cell r="B103" t="str"><v>Callitriche hermaphroditica</v></cell></row><row r="103"><cell r="E103" t="str"><v>L.      </v></cell></row><row r="103"><cell r="M103" t="str"><v>PHy</v></cell><cell r="N103"><v>7</v></cell><cell r="O103" t="str"><v>HYD</v></cell></row><row r="103"><cell r="Q103" t="str"><v>DICOT</v></cell></row><row r="103"><cell r="S103"><v>19551</v></cell></row><row r="104"><cell r="A104" t="str"><v>CALLEN</v></cell><cell r="B104" t="str"><v>Callitriche lenisulca</v></cell></row><row r="104"><cell r="E104" t="str"><v>      </v></cell></row><row r="104"><cell r="M104" t="str"><v>PHy</v></cell><cell r="N104"><v>7</v></cell><cell r="O104" t="str"><v>HYD</v></cell></row><row r="104"><cell r="Q104" t="str"><v>DICOT</v></cell></row><row r="104"><cell r="S104"><v>19554</v></cell></row><row r="105"><cell r="A105" t="str"><v>CALLUS</v></cell><cell r="B105" t="str"><v>Callitriche lusitanica</v></cell></row><row r="105"><cell r="E105" t="str"><v>      </v></cell></row><row r="105"><cell r="M105" t="str"><v>PHy</v></cell><cell r="N105"><v>7</v></cell><cell r="O105" t="str"><v>HYD</v></cell></row><row r="105"><cell r="Q105" t="str"><v>DICOT</v></cell></row><row r="105"><cell r="S105"><v>19555</v></cell></row><row r="106"><cell r="A106" t="str"><v>CALMAC</v></cell><cell r="B106" t="str"><v>Callitriche hermaphroditica var. macrocarpa</v></cell></row><row r="106"><cell r="E106" t="str"><v>      </v></cell></row><row r="106"><cell r="M106" t="str"><v>PHy</v></cell><cell r="N106"><v>7</v></cell><cell r="O106" t="str"><v>HYD</v></cell></row><row r="106"><cell r="Q106" t="str"><v>DICOT</v></cell></row><row r="106"><cell r="S106"><v>19553</v></cell></row><row r="107"><cell r="A107" t="str"><v>CALMIC</v></cell><cell r="B107" t="str"><v>Callitriche hermaphroditica var. microcarpa</v></cell></row><row r="107"><cell r="E107" t="str"><v>      </v></cell></row><row r="107"><cell r="M107" t="str"><v>PHy</v></cell><cell r="N107"><v>7</v></cell><cell r="O107" t="str"><v>HYD</v></cell></row><row r="107"><cell r="Q107" t="str"><v>DICOT</v></cell></row><row r="107"><cell r="S107"><v>19552</v></cell></row><row r="108"><cell r="A108" t="str"><v>CALOBT</v></cell><cell r="B108" t="str"><v>Callitriche obtusangula</v></cell><cell r="C108"><v>8</v></cell><cell r="D108"><v>2</v></cell><cell r="E108" t="str"><v>Le Gall     </v></cell></row><row r="108"><cell r="M108" t="str"><v>PHy</v></cell><cell r="N108"><v>7</v></cell><cell r="O108" t="str"><v>HYD</v></cell><cell r="P108" t="str"><v>IBMR</v></cell><cell r="Q108" t="str"><v>DICOT</v></cell></row><row r="108"><cell r="S108"><v>17</v></cell></row><row r="109"><cell r="A109" t="str"><v>CALOCC</v></cell><cell r="B109" t="str"><v>Callitriche truncata subsp. occidentalis</v></cell><cell r="C109"><v>10</v></cell><cell r="D109"><v>2</v></cell><cell r="E109" t="str"><v>      </v></cell><cell r="F109" t="str"><v>Callitriche truncata subsp. truncata</v></cell></row><row r="109"><cell r="M109" t="str"><v>PHy</v></cell><cell r="N109"><v>7</v></cell><cell r="O109" t="str"><v>HYD</v></cell><cell r="P109" t="str"><v>IBMR</v></cell><cell r="Q109" t="str"><v>DICOT</v></cell></row><row r="109"><cell r="S109"><v>19559</v></cell></row><row r="110"><cell r="A110" t="str"><v>CALPAL</v></cell><cell r="B110" t="str"><v>Callitriche palustris</v></cell></row><row r="110"><cell r="E110" t="str"><v>L.      </v></cell></row><row r="110"><cell r="M110" t="str"><v>PHy</v></cell><cell r="N110"><v>7</v></cell><cell r="O110" t="str"><v>HYD</v></cell></row><row r="110"><cell r="Q110" t="str"><v>DICOT</v></cell></row><row r="110"><cell r="S110"><v>171</v></cell></row><row r="111"><cell r="A111" t="str"><v>CALPLA</v></cell><cell r="B111" t="str"><v>Callitriche platycarpa</v></cell><cell r="C111"><v>10</v></cell><cell r="D111"><v>1</v></cell><cell r="E111" t="str"><v>Kützing      </v></cell></row><row r="111"><cell r="M111" t="str"><v>PHy</v></cell><cell r="N111"><v>7</v></cell><cell r="O111" t="str"><v>HYD</v></cell><cell r="P111" t="str"><v>IBMR</v></cell><cell r="Q111" t="str"><v>DICOT</v></cell></row><row r="111"><cell r="S111"><v>172</v></cell></row><row r="112"><cell r="A112" t="str"><v>CALPUL</v></cell><cell r="B112" t="str"><v>Callitriche pulchra</v></cell></row><row r="112"><cell r="E112" t="str"><v>      </v></cell></row><row r="112"><cell r="M112" t="str"><v>PHy</v></cell><cell r="N112"><v>7</v></cell><cell r="O112" t="str"><v>HYD</v></cell></row><row r="112"><cell r="Q112" t="str"><v>DICOT</v></cell></row><row r="112"><cell r="S112"><v>19556</v></cell></row><row r="113"><cell r="A113" t="str"><v>CALREG</v></cell><cell r="B113" t="str"><v>Callitriche regis-jubae</v></cell></row><row r="113"><cell r="E113" t="str"><v>      </v></cell></row><row r="113"><cell r="M113" t="str"><v>PHy</v></cell><cell r="N113"><v>7</v></cell><cell r="O113" t="str"><v>HYD</v></cell></row><row r="113"><cell r="Q113" t="str"><v>DICOT</v></cell></row><row r="113"><cell r="S113"><v>19557</v></cell></row><row r="114"><cell r="A114" t="str"><v>CALSPX</v></cell><cell r="B114" t="str"><v>Callitriche sp.</v></cell></row><row r="114"><cell r="E114" t="str"><v>      </v></cell></row><row r="114"><cell r="M114" t="str"><v>PHy</v></cell><cell r="N114"><v>7</v></cell><cell r="O114" t="str"><v>HYD</v></cell></row><row r="114"><cell r="Q114" t="str"><v>DICOT</v></cell></row><row r="114"><cell r="S114"><v>1696</v></cell></row><row r="115"><cell r="A115" t="str"><v>CALSTA</v></cell><cell r="B115" t="str"><v>Callitriche stagnalis</v></cell><cell r="C115"><v>12</v></cell><cell r="D115"><v>2</v></cell><cell r="E115" t="str"><v>Scop.      </v></cell></row><row r="115"><cell r="M115" t="str"><v>PHy</v></cell><cell r="N115"><v>7</v></cell><cell r="O115" t="str"><v>HYD</v></cell><cell r="P115" t="str"><v>IBMR</v></cell><cell r="Q115" t="str"><v>DICOT</v></cell></row><row r="115"><cell r="S115"><v>173</v></cell></row><row r="116"><cell r="A116" t="str"><v>CALVIG</v></cell><cell r="B116" t="str"><v>Callitriche x vigens</v></cell></row><row r="116"><cell r="E116" t="str"><v>      </v></cell></row><row r="116"><cell r="M116" t="str"><v>PHy</v></cell><cell r="N116"><v>7</v></cell><cell r="O116" t="str"><v>HYD</v></cell></row><row r="116"><cell r="Q116" t="str"><v>DICOT</v></cell></row><row r="116"><cell r="S116"><v>1956</v></cell></row><row r="117"><cell r="A117" t="str"><v>CAMAMA</v></cell><cell r="B117" t="str"><v>Cardamine amara</v></cell></row><row r="117"><cell r="E117" t="str"><v>L.      </v></cell></row><row r="117"><cell r="M117" t="str"><v>PHg</v></cell><cell r="N117"><v>9</v></cell><cell r="O117" t="str"><v>HYG/HEL</v></cell></row><row r="117"><cell r="Q117" t="str"><v>DICOT</v></cell></row><row r="117"><cell r="S117"><v>1758</v></cell></row><row r="118"><cell r="A118" t="str"><v>CAMHIR</v></cell><cell r="B118" t="str"><v>Cardamine hirsuta</v></cell></row><row r="118"><cell r="E118" t="str"><v>L.      </v></cell></row><row r="118"><cell r="M118" t="str"><v>PHg</v></cell><cell r="N118"><v>9</v></cell><cell r="O118" t="str"><v>HYG</v></cell></row><row r="118"><cell r="Q118" t="str"><v>DICOT</v></cell></row><row r="118"><cell r="S118"><v>1759</v></cell></row><row r="119"><cell r="A119" t="str"><v>CAMLAT</v></cell><cell r="B119" t="str"><v>Cardamine latifolia</v></cell></row><row r="119"><cell r="E119" t="str"><v>      </v></cell></row><row r="119"><cell r="M119" t="str"><v>PHg</v></cell><cell r="N119"><v>9</v></cell><cell r="O119" t="str"><v>HYG/HEL</v></cell></row><row r="119"><cell r="Q119" t="str"><v>DICOT</v></cell></row><row r="119"><cell r="S119"><v>19566</v></cell></row><row r="120"><cell r="A120" t="str"><v>CAMPRA</v></cell><cell r="B120" t="str"><v>Cardamine pratensis</v></cell></row><row r="120"><cell r="E120" t="str"><v>L.      </v></cell></row><row r="120"><cell r="M120" t="str"><v>PHg</v></cell><cell r="N120"><v>9</v></cell><cell r="O120" t="str"><v>HYG</v></cell></row><row r="120"><cell r="Q120" t="str"><v>DICOT</v></cell></row><row r="120"><cell r="S120"><v>176</v></cell></row><row r="121"><cell r="A121" t="str"><v>CAMRES</v></cell><cell r="B121" t="str"><v>Cardamine resedifolia</v></cell></row><row r="121"><cell r="E121" t="str"><v>L.      </v></cell></row><row r="121"><cell r="M121" t="str"><v>PHe</v></cell><cell r="N121"><v>8</v></cell><cell r="O121" t="str"><v>HEL</v></cell></row><row r="121"><cell r="Q121" t="str"><v>DICOT</v></cell></row><row r="121"><cell r="S121"><v>19567</v></cell></row><row r="122"><cell r="A122" t="str"><v>CAMSPX</v></cell><cell r="B122" t="str"><v>Cardamine sp.</v></cell></row><row r="122"><cell r="E122" t="str"><v>      </v></cell></row><row r="122"><cell r="M122" t="str"><v>PHg</v></cell><cell r="N122"><v>9</v></cell><cell r="O122" t="str"><v>HYG/HEL</v></cell></row><row r="122"><cell r="Q122" t="str"><v>DICOT</v></cell></row><row r="122"><cell r="S122"><v>1757</v></cell></row><row r="123"><cell r="A123" t="str"><v>CARACT</v></cell><cell r="B123" t="str"><v>Carex acutiformis</v></cell></row><row r="123"><cell r="E123" t="str"><v>Ehrh.      </v></cell></row><row r="123"><cell r="M123" t="str"><v>PHe</v></cell><cell r="N123"><v>8</v></cell><cell r="O123" t="str"><v>HEL</v></cell></row><row r="123"><cell r="Q123" t="str"><v>MONOCOT</v></cell></row><row r="123"><cell r="S123"><v>1468</v></cell></row><row r="124"><cell r="A124" t="str"><v>CARACU</v></cell><cell r="B124" t="str"><v>Carex acuta</v></cell></row><row r="124"><cell r="E124" t="str"><v>L.      </v></cell><cell r="F124" t="str"><v>Carex gracilis Curtis</v></cell></row><row r="124"><cell r="M124" t="str"><v>PHe</v></cell><cell r="N124"><v>8</v></cell><cell r="O124" t="str"><v>HEL</v></cell></row><row r="124"><cell r="Q124" t="str"><v>MONOCOT</v></cell></row><row r="124"><cell r="S124"><v>1467</v></cell></row><row r="125"><cell r="A125" t="str"><v>CARAQU</v></cell><cell r="B125" t="str"><v>Carex aquatilis</v></cell></row><row r="125"><cell r="E125" t="str"><v>      </v></cell></row><row r="125"><cell r="M125" t="str"><v>PHe</v></cell><cell r="N125"><v>8</v></cell><cell r="O125" t="str"><v>HEL</v></cell></row><row r="125"><cell r="Q125" t="str"><v>MONOCOT</v></cell></row><row r="125"><cell r="S125"><v>1469</v></cell></row><row r="126"><cell r="A126" t="str"><v>CARBUE</v></cell><cell r="B126" t="str"><v>Carex buekii</v></cell></row><row r="126"><cell r="E126" t="str"><v>Wimm.      </v></cell></row><row r="126"><cell r="M126" t="str"><v>PHx</v></cell><cell r="N126"><v>1</v></cell></row><row r="126"><cell r="Q126" t="str"><v>MONOCOT</v></cell></row><row r="126"><cell r="S126"><v>19568</v></cell></row><row r="127"><cell r="A127" t="str"><v>CARDIA</v></cell><cell r="B127" t="str"><v>Carex diandra</v></cell></row><row r="127"><cell r="E127" t="str"><v>      </v></cell></row><row r="127"><cell r="M127" t="str"><v>PHx</v></cell><cell r="N127"><v>1</v></cell></row><row r="127"><cell r="Q127" t="str"><v>MONOCOT</v></cell></row><row r="127"><cell r="S127"><v>1957</v></cell></row><row r="128"><cell r="A128" t="str"><v>CARDIS</v></cell><cell r="B128" t="str"><v>Carex disticha</v></cell></row><row r="128"><cell r="E128" t="str"><v>      </v></cell></row><row r="128"><cell r="M128" t="str"><v>PHg</v></cell><cell r="N128"><v>9</v></cell><cell r="O128" t="str"><v>HYG</v></cell></row><row r="128"><cell r="Q128" t="str"><v>MONOCOT</v></cell></row><row r="128"><cell r="S128"><v>1473</v></cell></row><row r="129"><cell r="A129" t="str"><v>CARELA</v></cell><cell r="B129" t="str"><v>Carex elata</v></cell></row><row r="129"><cell r="E129" t="str"><v>All.      </v></cell></row><row r="129"><cell r="M129" t="str"><v>PHe</v></cell><cell r="N129"><v>8</v></cell><cell r="O129" t="str"><v>HEL</v></cell></row><row r="129"><cell r="Q129" t="str"><v>MONOCOT</v></cell></row><row r="129"><cell r="S129"><v>1475</v></cell></row><row r="130"><cell r="A130" t="str"><v>CARHAL</v></cell><cell r="B130" t="str"><v>Carex halophila</v></cell></row><row r="130"><cell r="E130" t="str"><v>      </v></cell></row><row r="130"><cell r="M130" t="str"><v>PHx</v></cell><cell r="N130"><v>1</v></cell></row><row r="130"><cell r="Q130" t="str"><v>MONOCOT</v></cell></row><row r="130"><cell r="S130"><v>19573</v></cell></row><row r="131"><cell r="A131" t="str"><v>CARHIR</v></cell><cell r="B131" t="str"><v>Carex hirta</v></cell></row><row r="131"><cell r="E131" t="str"><v>      </v></cell></row><row r="131"><cell r="M131" t="str"><v>PHg</v></cell><cell r="N131"><v>9</v></cell><cell r="O131" t="str"><v>HYG</v></cell></row><row r="131"><cell r="Q131" t="str"><v>MONOCOT</v></cell></row><row r="131"><cell r="S131"><v>1478</v></cell></row><row r="132"><cell r="A132" t="str"><v>CARLAS</v></cell><cell r="B132" t="str"><v>Carex lasiocarpa</v></cell></row><row r="132"><cell r="E132" t="str"><v>      </v></cell></row><row r="132"><cell r="M132" t="str"><v>PHg</v></cell><cell r="N132"><v>9</v></cell><cell r="O132" t="str"><v>HYG</v></cell></row><row r="132"><cell r="Q132" t="str"><v>MONOCOT</v></cell></row><row r="132"><cell r="S132"><v>19575</v></cell></row><row r="133"><cell r="A133" t="str"><v>CARLIM</v></cell><cell r="B133" t="str"><v>Carex limosa</v></cell></row><row r="133"><cell r="E133" t="str"><v>      </v></cell></row><row r="133"><cell r="M133" t="str"><v>PHg</v></cell><cell r="N133"><v>9</v></cell><cell r="O133" t="str"><v>HYG</v></cell></row><row r="133"><cell r="Q133" t="str"><v>MONOCOT</v></cell></row><row r="133"><cell r="S133"><v>19577</v></cell></row><row r="134"><cell r="A134" t="str"><v>CARNIG</v></cell><cell r="B134" t="str"><v>Carex nigra</v></cell></row><row r="134"><cell r="E134" t="str"><v>(L.) Reichard     </v></cell></row><row r="134"><cell r="M134" t="str"><v>PHg</v></cell><cell r="N134"><v>9</v></cell><cell r="O134" t="str"><v>HYG/HEL</v></cell></row><row r="134"><cell r="Q134" t="str"><v>MONOCOT</v></cell></row><row r="134"><cell r="S134"><v>148</v></cell></row><row r="135"><cell r="A135" t="str"><v>CARPAN</v></cell><cell r="B135" t="str"><v>Carex paniculata</v></cell></row><row r="135"><cell r="E135" t="str"><v>L.      </v></cell></row><row r="135"><cell r="M135" t="str"><v>PHe</v></cell><cell r="N135"><v>8</v></cell><cell r="O135" t="str"><v>HEL</v></cell></row><row r="135"><cell r="Q135" t="str"><v>MONOCOT</v></cell></row><row r="135"><cell r="S135"><v>1484</v></cell></row><row r="136"><cell r="A136" t="str"><v>CARPEN</v></cell><cell r="B136" t="str"><v>Carex pendula</v></cell></row><row r="136"><cell r="E136" t="str"><v>Huds.      </v></cell></row><row r="136"><cell r="M136" t="str"><v>PHe</v></cell><cell r="N136"><v>8</v></cell><cell r="O136" t="str"><v>HEL</v></cell></row><row r="136"><cell r="Q136" t="str"><v>MONOCOT</v></cell></row><row r="136"><cell r="S136"><v>1485</v></cell></row><row r="137"><cell r="A137" t="str"><v>CARPSE</v></cell><cell r="B137" t="str"><v>Carex pseudocyperus</v></cell></row><row r="137"><cell r="E137" t="str"><v>L.      </v></cell></row><row r="137"><cell r="M137" t="str"><v>PHe</v></cell><cell r="N137"><v>8</v></cell><cell r="O137" t="str"><v>HEL</v></cell></row><row r="137"><cell r="Q137" t="str"><v>MONOCOT</v></cell></row><row r="137"><cell r="S137"><v>1486</v></cell></row><row r="138"><cell r="A138" t="str"><v>CARRIP</v></cell><cell r="B138" t="str"><v>Carex riparia</v></cell></row><row r="138"><cell r="E138" t="str"><v>Curtis      </v></cell></row><row r="138"><cell r="M138" t="str"><v>PHe</v></cell><cell r="N138"><v>8</v></cell><cell r="O138" t="str"><v>HEL</v></cell></row><row r="138"><cell r="Q138" t="str"><v>MONOCOT</v></cell></row><row r="138"><cell r="S138"><v>1489</v></cell></row><row r="139"><cell r="A139" t="str"><v>CARROS</v></cell><cell r="B139" t="str"><v>Carex rostrata</v></cell><cell r="C139"><v>15</v></cell><cell r="D139"><v>3</v></cell><cell r="E139" t="str"><v>Stokes      </v></cell></row><row r="139"><cell r="M139" t="str"><v>PHe</v></cell><cell r="N139"><v>8</v></cell><cell r="O139" t="str"><v>HYD/HEL</v></cell><cell r="P139" t="str"><v>IBMR</v></cell><cell r="Q139" t="str"><v>MONOCOT</v></cell></row><row r="139"><cell r="S139"><v>149</v></cell></row><row r="140"><cell r="A140" t="str"><v>CARSPI</v></cell><cell r="B140" t="str"><v>Carex spicata</v></cell></row><row r="140"><cell r="E140" t="str"><v>Huds.      </v></cell></row><row r="140"><cell r="M140" t="str"><v>PHg</v></cell><cell r="N140"><v>9</v></cell><cell r="O140" t="str"><v>HYG</v></cell></row><row r="140"><cell r="Q140" t="str"><v>MONOCOT</v></cell></row><row r="140"><cell r="S140"><v>19578</v></cell></row><row r="141"><cell r="A141" t="str"><v>CARSPX</v></cell><cell r="B141" t="str"><v>Carex sp.</v></cell></row><row r="141"><cell r="E141" t="str"><v>      </v></cell></row><row r="141"><cell r="M141" t="str"><v>PHe</v></cell><cell r="N141"><v>8</v></cell><cell r="O141" t="str"><v>HEL</v></cell></row><row r="141"><cell r="Q141" t="str"><v>MONOCOT</v></cell></row><row r="141"><cell r="S141"><v>1466</v></cell></row><row r="142"><cell r="A142" t="str"><v>CARVES</v></cell><cell r="B142" t="str"><v>Carex vesicaria</v></cell><cell r="C142"><v>12</v></cell><cell r="D142"><v>2</v></cell><cell r="E142" t="str"><v>L.      </v></cell></row><row r="142"><cell r="M142" t="str"><v>PHe</v></cell><cell r="N142"><v>8</v></cell><cell r="O142" t="str"><v>HYD/HEL</v></cell><cell r="P142" t="str"><v>IBMR</v></cell><cell r="Q142" t="str"><v>MONOCOT</v></cell></row><row r="142"><cell r="S142"><v>1491</v></cell></row><row r="143"><cell r="A143" t="str"><v>CARVUL</v></cell><cell r="B143" t="str"><v>Carex vulpina</v></cell></row><row r="143"><cell r="E143" t="str"><v>L.      </v></cell></row><row r="143"><cell r="M143" t="str"><v>PHe</v></cell><cell r="N143"><v>8</v></cell><cell r="O143" t="str"><v>HEL</v></cell></row><row r="143"><cell r="Q143" t="str"><v>MONOCOT</v></cell></row><row r="143"><cell r="S143"><v>19581</v></cell></row><row r="144"><cell r="A144" t="str"><v>CASSEP</v></cell><cell r="B144" t="str"><v>Calystegia sepium</v></cell></row><row r="144"><cell r="E144" t="str"><v>(L.) R. Br.    </v></cell></row><row r="144"><cell r="M144" t="str"><v>PHg</v></cell><cell r="N144"><v>9</v></cell><cell r="O144" t="str"><v>HYG</v></cell></row><row r="144"><cell r="Q144" t="str"><v>DICOT</v></cell></row><row r="144"><cell r="S144"><v>1731</v></cell></row><row r="145"><cell r="A145" t="str"><v>CATAQU</v></cell><cell r="B145" t="str"><v>Catabrosa aquatica</v></cell><cell r="C145"><v>11</v></cell><cell r="D145"><v>2</v></cell><cell r="E145" t="str"><v>(L.) Beauv.     </v></cell></row><row r="145"><cell r="M145" t="str"><v>PHe</v></cell><cell r="N145"><v>8</v></cell><cell r="O145" t="str"><v>HYD/HEL</v></cell><cell r="P145" t="str"><v>IBMR</v></cell><cell r="Q145" t="str"><v>MONOCOT</v></cell></row><row r="145"><cell r="S145"><v>1555</v></cell></row><row r="146"><cell r="A146" t="str"><v>CAUVER</v></cell><cell r="B146" t="str"><v>Carum verticillatum</v></cell></row><row r="146"><cell r="E146" t="str"><v>      </v></cell></row><row r="146"><cell r="M146" t="str"><v>PHe</v></cell><cell r="N146"><v>8</v></cell><cell r="O146" t="str"><v>HYD/HEL</v></cell></row><row r="146"><cell r="Q146" t="str"><v>DICOT</v></cell></row><row r="146"><cell r="S146"><v>1979</v></cell></row><row r="147"><cell r="A147" t="str"><v>CAYARG</v></cell><cell r="B147" t="str"><v>Calypogeia arguta</v></cell></row><row r="147"><cell r="E147" t="str"><v>Nees & Mont.    </v></cell><cell r="F147" t="str"><v>Cincinnulus argutus (Nees & Mont.) Dumort.</v></cell><cell r="G147" t="str"><v>Kantia arguta (Nees & Mont.) Lindb.</v></cell></row><row r="147"><cell r="M147" t="str"><v>BRh</v></cell><cell r="N147"><v>4</v></cell></row><row r="147"><cell r="S147"><v>19562</v></cell></row><row r="148"><cell r="A148" t="str"><v>CAYFIS</v></cell><cell r="B148" t="str"><v>Calypogeia fissa</v></cell></row><row r="148"><cell r="E148" t="str"><v> (L.) Raddi       </v></cell><cell r="F148" t="str"><v>Mnium fissum L.</v></cell><cell r="G148" t="str"><v>Jungermannia calypogeia Raddi</v></cell><cell r="H148" t="str"><v>Jungermannia fissa Scop.</v></cell><cell r="I148" t="str"><v>Jungermannia sprengelii Mart.</v></cell><cell r="J148" t="str"><v>Kantia calypogeia Lindb.</v></cell><cell r="K148" t="str"><v>Kantia sprengelii Pearson</v></cell></row><row r="148"><cell r="M148" t="str"><v>BRh</v></cell><cell r="N148"><v>4</v></cell></row><row r="148"><cell r="S148"><v>19563</v></cell></row><row r="149"><cell r="A149" t="str"><v>CAYSPX</v></cell><cell r="B149" t="str"><v>Calypogeia sp.</v></cell></row><row r="149"><cell r="E149" t="str"><v>Raddi</v></cell></row><row r="149"><cell r="M149" t="str"><v>BRh</v></cell><cell r="N149"><v>4</v></cell></row><row r="149"><cell r="S149"><v>19564</v></cell></row><row r="150"><cell r="A150" t="str"><v>CEATHA</v></cell><cell r="B150" t="str"><v>Ceratopteris thalictroides</v></cell></row><row r="150"><cell r="E150" t="str"><v>      </v></cell></row><row r="150"><cell r="M150" t="str"><v>PTE</v></cell><cell r="N150"><v>6</v></cell></row><row r="150"><cell r="S150"><v>19584</v></cell></row><row r="151"><cell r="A151" t="str"><v>CERAPI</v></cell><cell r="B151" t="str"><v>Ceratophyllum demersum var. apiculatum</v></cell></row><row r="151"><cell r="E151" t="str"><v>      </v></cell></row><row r="151"><cell r="M151" t="str"><v>PHy</v></cell><cell r="N151"><v>7</v></cell><cell r="O151" t="str"><v>HYD</v></cell></row><row r="151"><cell r="Q151" t="str"><v>DICOT</v></cell></row><row r="151"><cell r="S151"><v>19582</v></cell></row><row r="152"><cell r="A152" t="str"><v>CERDEM</v></cell><cell r="B152" t="str"><v>Ceratophyllum demersum</v></cell><cell r="C152"><v>5</v></cell><cell r="D152"><v>2</v></cell><cell r="E152" t="str"><v>L.      </v></cell></row><row r="152"><cell r="M152" t="str"><v>PHy</v></cell><cell r="N152"><v>7</v></cell><cell r="O152" t="str"><v>HYD</v></cell><cell r="P152" t="str"><v>IBMR</v></cell><cell r="Q152" t="str"><v>DICOT</v></cell></row><row r="152"><cell r="S152"><v>1717</v></cell></row><row r="153"><cell r="A153" t="str"><v>CERINE</v></cell><cell r="B153" t="str"><v>Ceratophyllum demersum var. inerme</v></cell></row><row r="153"><cell r="E153" t="str"><v>      </v></cell></row><row r="153"><cell r="M153" t="str"><v>PHy</v></cell><cell r="N153"><v>7</v></cell><cell r="O153" t="str"><v>HYD</v></cell></row><row r="153"><cell r="Q153" t="str"><v>DICOT</v></cell></row><row r="153"><cell r="S153" t="str"><v>Pas de cd_sandre</v></cell></row><row r="154"><cell r="A154" t="str"><v>CERMUR</v></cell><cell r="B154" t="str"><v>Ceratophyllum muricatum</v></cell></row><row r="154"><cell r="E154" t="str"><v>      </v></cell></row><row r="154"><cell r="M154" t="str"><v>PHy</v></cell><cell r="N154"><v>7</v></cell><cell r="O154" t="str"><v>HYD</v></cell></row><row r="154"><cell r="Q154" t="str"><v>DICOT</v></cell></row><row r="154"><cell r="S154" t="str"><v>Pas de cd_sandre</v></cell></row><row r="155"><cell r="A155" t="str"><v>CERPLA</v></cell><cell r="B155" t="str"><v>Ceratophyllum platyacanthum</v></cell></row><row r="155"><cell r="E155" t="str"><v>      </v></cell></row><row r="155"><cell r="M155" t="str"><v>PHy</v></cell><cell r="N155"><v>7</v></cell><cell r="O155" t="str"><v>HYD</v></cell></row><row r="155"><cell r="Q155" t="str"><v>DICOT</v></cell></row><row r="155"><cell r="S155"><v>19583</v></cell></row><row r="156"><cell r="A156" t="str"><v>CERSPX</v></cell><cell r="B156" t="str"><v>Ceratophyllum sp.</v></cell></row><row r="156"><cell r="E156" t="str"><v>      </v></cell></row><row r="156"><cell r="M156" t="str"><v>PHy</v></cell><cell r="N156"><v>7</v></cell><cell r="O156" t="str"><v>HYD</v></cell></row><row r="156"><cell r="Q156" t="str"><v>DICOT</v></cell></row><row r="156"><cell r="S156"><v>1716</v></cell></row><row r="157"><cell r="A157" t="str"><v>CERSUB</v></cell><cell r="B157" t="str"><v>Ceratophyllum submersum</v></cell><cell r="C157"><v>20</v></cell><cell r="D157"><v>3</v></cell><cell r="E157" t="str"><v>L.      </v></cell></row><row r="157"><cell r="M157" t="str"><v>PHy</v></cell><cell r="N157"><v>7</v></cell><cell r="O157" t="str"><v>HYD</v></cell><cell r="P157" t="str"><v>IBMR</v></cell><cell r="Q157" t="str"><v>DICOT</v></cell></row><row r="157"><cell r="S157"><v>1718</v></cell></row><row r="158"><cell r="A158" t="str"><v>CHAACU</v></cell><cell r="B158" t="str"><v>Chara aculeolata</v></cell></row><row r="158"><cell r="E158" t="str"><v>Kützing      </v></cell><cell r="F158" t="str"><v>Chara pedunculata Kûtz.</v></cell><cell r="G158" t="str"><v>Chara polyacantha A. Braun</v></cell></row><row r="158"><cell r="M158" t="str"><v>ALG</v></cell><cell r="N158"><v>2</v></cell></row><row r="158"><cell r="S158"><v>5252</v></cell></row><row r="159"><cell r="A159" t="str"><v>CHAASP</v></cell><cell r="B159" t="str"><v>Chara aspera</v></cell></row><row r="159"><cell r="E159" t="str"><v>Deth. Ex Wild.    </v></cell><cell r="F159" t="str"><v>Chara delicatula Desv. non Agardh </v></cell></row><row r="159"><cell r="M159" t="str"><v>ALG</v></cell><cell r="N159"><v>2</v></cell></row><row r="159"><cell r="S159"><v>5253</v></cell></row><row r="160"><cell r="A160" t="str"><v>CHABRA</v></cell><cell r="B160" t="str"><v>Chara braunii</v></cell></row><row r="160"><cell r="E160" t="str"><v>C.C.Gmelin</v></cell></row><row r="160"><cell r="M160" t="str"><v>ALG</v></cell><cell r="N160"><v>2</v></cell></row><row r="160"><cell r="S160"><v>5254</v></cell></row><row r="161"><cell r="A161" t="str"><v>CHACAN</v></cell><cell r="B161" t="str"><v>Chara canescens</v></cell></row><row r="161"><cell r="E161" t="str"><v>Desv. & Lois    </v></cell></row><row r="161"><cell r="M161" t="str"><v>ALG</v></cell><cell r="N161"><v>2</v></cell></row><row r="161"><cell r="S161"><v>5255</v></cell></row><row r="162"><cell r="A162" t="str"><v>CHACON</v></cell><cell r="B162" t="str"><v>Chara contraria</v></cell></row><row r="162"><cell r="E162" t="str"><v>A. Braun     </v></cell></row><row r="162"><cell r="M162" t="str"><v>ALG</v></cell><cell r="N162"><v>2</v></cell></row><row r="162"><cell r="S162"><v>5256</v></cell></row><row r="163"><cell r="A163" t="str"><v>CHAGLO</v></cell><cell r="B163" t="str"><v>Chara globularis</v></cell><cell r="C163"><v>13</v></cell><cell r="D163"><v>1</v></cell><cell r="E163" t="str"><v>Thuill.      </v></cell><cell r="F163" t="str"><v>Chara fragilis Desv.</v></cell></row><row r="163"><cell r="M163" t="str"><v>ALG</v></cell><cell r="N163"><v>2</v></cell></row><row r="163"><cell r="P163" t="str"><v>IBMR</v></cell></row><row r="163"><cell r="S163"><v>5257</v></cell></row><row r="164"><cell r="A164" t="str"><v>CHAGYM</v></cell><cell r="B164" t="str"><v>Chara vulgaris var. gymnophylla</v></cell></row><row r="164"><cell r="E164" t="str"><v>A. Braun     </v></cell><cell r="F164" t="str"><v>Chara gymnophylla A. Braun</v></cell></row><row r="164"><cell r="M164" t="str"><v>ALG</v></cell><cell r="N164"><v>2</v></cell></row><row r="164"><cell r="S164"><v>5262</v></cell></row><row r="165"><cell r="A165" t="str"><v>CHAHIS</v></cell><cell r="B165" t="str"><v>Chara hispida</v></cell><cell r="C165"><v>15</v></cell><cell r="D165"><v>2</v></cell><cell r="E165" t="str"><v>(L.) Vaillant</v></cell></row><row r="165"><cell r="M165" t="str"><v>ALG</v></cell><cell r="N165"><v>2</v></cell></row><row r="165"><cell r="P165" t="str"><v>IBMR</v></cell></row><row r="165"><cell r="S165"><v>5258</v></cell></row><row r="166"><cell r="A166" t="str"><v>CHAINT</v></cell><cell r="B166" t="str"><v>Chara intermedia</v></cell></row><row r="166"><cell r="E166" t="str"><v>A. Braun     </v></cell></row><row r="166"><cell r="M166" t="str"><v>ALG</v></cell><cell r="N166"><v>2</v></cell></row><row r="166"><cell r="S166"><v>5259</v></cell></row><row r="167"><cell r="A167" t="str"><v>CHASPX</v></cell><cell r="B167" t="str"><v>Chara sp.</v></cell></row><row r="167"><cell r="E167" t="str"><v>L. ex Vaillant    </v></cell></row><row r="167"><cell r="M167" t="str"><v>ALG</v></cell><cell r="N167"><v>2</v></cell></row><row r="167"><cell r="S167"><v>1121</v></cell></row><row r="168"><cell r="A168" t="str"><v>CHAVUL</v></cell><cell r="B168" t="str"><v>Chara vulgaris</v></cell><cell r="C168"><v>13</v></cell><cell r="D168"><v>1</v></cell><cell r="E168" t="str"><v>L.      </v></cell><cell r="F168" t="str"><v>Chara foetida A. Braun</v></cell></row><row r="168"><cell r="M168" t="str"><v>ALG</v></cell><cell r="N168"><v>2</v></cell></row><row r="168"><cell r="P168" t="str"><v>IBMR</v></cell></row><row r="168"><cell r="S168"><v>5261</v></cell></row><row r="169"><cell r="A169" t="str"><v>CHESPX</v></cell><cell r="B169" t="str"><v>Chaetophora sp.</v></cell><cell r="C169"><v>12</v></cell><cell r="D169"><v>2</v></cell><cell r="E169" t="str"><v>Schrank      </v></cell></row><row r="169"><cell r="M169" t="str"><v>ALG</v></cell><cell r="N169"><v>2</v></cell></row><row r="169"><cell r="P169" t="str"><v>IBMR</v></cell></row><row r="169"><cell r="S169"><v>1117</v></cell></row><row r="170"><cell r="A170" t="str"><v>CHICOA</v></cell><cell r="B170" t="str"><v>Chiloscyphus coadunatus</v></cell></row><row r="170"><cell r="E170" t="str"><v>(Sw.) J.J. engel & R.M. Schust.</v></cell><cell r="F170" t="str"><v>Lophocolea bidentata (L.) Dumort.</v></cell><cell r="G170" t="str"><v>Lophocolea alata (Nees) Schiffn.</v></cell><cell r="H170" t="str"><v>Lophocolea cuspidata (Nees) Limpr.</v></cell><cell r="I170" t="str"><v>Chiloscyphus cuspidatus (Nees) J.J. Engel & R.M. Schust.</v></cell><cell r="J170" t="str"><v>Chiloscyphus latifolius (Nees) J.J. Engel & R.M. Schust.</v></cell><cell r="K170" t="str"><v>Jungermannia coadunata Sw.</v></cell><cell r="L170" t="str"><v>Jungermannia bidentata L.</v></cell><cell r="M170" t="str"><v>BRh</v></cell><cell r="N170"><v>4</v></cell></row><row r="170"><cell r="S170"><v>19593</v></cell></row><row r="171"><cell r="A171" t="str"><v>CHIPAL</v></cell><cell r="B171" t="str"><v>Chiloscyphus pallescens</v></cell><cell r="C171"><v>14</v></cell><cell r="D171"><v>2</v></cell><cell r="E171" t="str"><v>(Ehrh. ex Hoffm.) Dumort.   </v></cell><cell r="F171" t="str"><v>Chiloscyphus polyanthos var. pallescens (Ehrh. ex Hoffm.) C. Hartm.</v></cell><cell r="G171" t="str"><v>Chiloscyphus polyanthos var. fragilis (Roth.) Müll. Frib.</v></cell><cell r="H171" t="str"><v>Jungermannia pallescens Ehrh. ex Hoffm.</v></cell></row><row r="171"><cell r="M171" t="str"><v>BRh</v></cell><cell r="N171"><v>4</v></cell></row><row r="171"><cell r="P171" t="str"><v>IBMR</v></cell></row><row r="171"><cell r="S171"><v>1185</v></cell></row><row r="172"><cell r="A172" t="str"><v>CHIPOL</v></cell><cell r="B172" t="str"><v>Chiloscyphus polyanthos var. polyanthos</v></cell><cell r="C172"><v>15</v></cell><cell r="D172"><v>2</v></cell><cell r="E172" t="str"><v>L. Corda</v></cell><cell r="F172" t="str"><v>Chiloscyphus polyanthos</v></cell><cell r="G172" t="str"><v>Chiloscyphus polyanthos var. rivularis (Schrad.) Nees</v></cell><cell r="H172" t="str"><v>Chiloscyphus polyanthos var. polyanthos fo. rivularis L. Corda </v></cell><cell r="I172" t="str"><v>Jungermannia polyanthos L.</v></cell></row><row r="172"><cell r="M172" t="str"><v>BRh</v></cell><cell r="N172"><v>4</v></cell></row><row r="172"><cell r="P172" t="str"><v>IBMR</v></cell></row><row r="172"><cell r="S172"><v>1186</v></cell></row><row r="173"><cell r="A173" t="str"><v>CHISPX</v></cell><cell r="B173" t="str"><v>Chiloscyphus sp.</v></cell></row><row r="173"><cell r="E173" t="str"><v>Corda</v></cell></row><row r="173"><cell r="M173" t="str"><v>BRh</v></cell><cell r="N173"><v>4</v></cell></row><row r="173"><cell r="S173"><v>1182</v></cell></row><row r="174"><cell r="A174" t="str"><v>CHLSPX</v></cell><cell r="B174" t="str"><v>Chlorhormidium sp.</v></cell></row><row r="174"><cell r="E174" t="str"><v>Fott      </v></cell></row><row r="174"><cell r="M174" t="str"><v>ALG</v></cell><cell r="N174"><v>2</v></cell></row><row r="174"><cell r="S174"><v>1141</v></cell></row><row r="175"><cell r="A175" t="str"><v>CHOSPX</v></cell><cell r="B175" t="str"><v>Chlorotylium sp</v></cell></row><row r="175"><cell r="E175" t="str"><v>Kützing      </v></cell></row><row r="175"><cell r="M175" t="str"><v>ALG</v></cell><cell r="N175"><v>2</v></cell></row><row r="175"><cell r="S175"><v>19594</v></cell></row><row r="176"><cell r="A176" t="str"><v>CHRALT</v></cell><cell r="B176" t="str"><v>Chrysosplenium alternifolium</v></cell></row><row r="176"><cell r="E176" t="str"><v>L.      </v></cell></row><row r="176"><cell r="M176" t="str"><v>PHg</v></cell><cell r="N176"><v>9</v></cell><cell r="O176" t="str"><v>HYG</v></cell></row><row r="176"><cell r="Q176" t="str"><v>DICOT</v></cell></row><row r="176"><cell r="S176"><v>1938</v></cell></row><row r="177"><cell r="A177" t="str"><v>CHROPP</v></cell><cell r="B177" t="str"><v>Chrysosplenium oppositifolium</v></cell></row><row r="177"><cell r="E177" t="str"><v>L.      </v></cell></row><row r="177"><cell r="M177" t="str"><v>PHg</v></cell><cell r="N177"><v>9</v></cell><cell r="O177" t="str"><v>HYG</v></cell></row><row r="177"><cell r="Q177" t="str"><v>DICOT</v></cell></row><row r="177"><cell r="S177"><v>1939</v></cell></row><row r="178"><cell r="A178" t="str"><v>CICVIR</v></cell><cell r="B178" t="str"><v>Cicuta virosa</v></cell></row><row r="178"><cell r="E178" t="str"><v>L.      </v></cell></row><row r="178"><cell r="M178" t="str"><v>PHe</v></cell><cell r="N178"><v>8</v></cell><cell r="O178" t="str"><v>HEL</v></cell></row><row r="178"><cell r="Q178" t="str"><v>DICOT</v></cell></row><row r="178"><cell r="S178"><v>1981</v></cell></row><row r="179"><cell r="A179" t="str"><v>CINAQU</v></cell><cell r="B179" t="str"><v>Cinclidotus aquaticus</v></cell><cell r="C179"><v>15</v></cell><cell r="D179"><v>2</v></cell><cell r="E179" t="str"><v> (Hedw.) B., S. & G.</v></cell></row><row r="179"><cell r="M179" t="str"><v>BRm</v></cell><cell r="N179"><v>5</v></cell></row><row r="179"><cell r="P179" t="str"><v>IBMR</v></cell></row><row r="179"><cell r="S179"><v>1318</v></cell></row><row r="180"><cell r="A180" t="str"><v>CINDAN</v></cell><cell r="B180" t="str"><v>Cinclidotus danubicus</v></cell><cell r="C180"><v>13</v></cell><cell r="D180"><v>3</v></cell><cell r="E180" t="str"><v>Schiffn. & Baumg.</v></cell></row><row r="180"><cell r="M180" t="str"><v>BRm</v></cell><cell r="N180"><v>5</v></cell></row><row r="180"><cell r="P180" t="str"><v>IBMR</v></cell></row><row r="180"><cell r="S180"><v>1319</v></cell></row><row r="181"><cell r="A181" t="str"><v>CINFON</v></cell><cell r="B181" t="str"><v>Cinclidotus fontinaloides</v></cell><cell r="C181"><v>12</v></cell><cell r="D181"><v>2</v></cell><cell r="E181" t="str"><v>(Hedw.) P. Beauv.    </v></cell><cell r="F181" t="str"><v>Cinclidotus minor Lindb.</v></cell></row><row r="181"><cell r="M181" t="str"><v>BRm</v></cell><cell r="N181"><v>5</v></cell></row><row r="181"><cell r="P181" t="str"><v>IBMR</v></cell></row><row r="181"><cell r="S181"><v>132</v></cell></row><row r="182"><cell r="A182" t="str"><v>CINMUC</v></cell><cell r="B182" t="str"><v>Cinclidotus mucronatus</v></cell></row><row r="182"><cell r="E182" t="str"><v>(Brid.) Mach.     </v></cell><cell r="F182" t="str"><v>Dialytrichia mucronata (Brid.) Broth.</v></cell></row><row r="182"><cell r="M182" t="str"><v>BRm</v></cell><cell r="N182"><v>5</v></cell></row><row r="182"><cell r="S182"><v>19595</v></cell></row><row r="183"><cell r="A183" t="str"><v>CINRIP</v></cell><cell r="B183" t="str"><v>Cinclidotus riparius</v></cell><cell r="C183"><v>13</v></cell><cell r="D183"><v>2</v></cell><cell r="E183" t="str"><v>(Brid.) Arnott   </v></cell><cell r="F183" t="str"><v>Cinclidotus nigricans (Brid.) Wijk & Marg.</v></cell></row><row r="183"><cell r="M183" t="str"><v>BRm</v></cell><cell r="N183"><v>5</v></cell></row><row r="183"><cell r="P183" t="str"><v>IBMR</v></cell></row><row r="183"><cell r="S183"><v>1321</v></cell></row><row r="184"><cell r="A184" t="str"><v>CINSPX</v></cell><cell r="B184" t="str"><v>Cinclidotus sp.</v></cell></row><row r="184"><cell r="E184" t="str"><v>P. Beauv. </v></cell></row><row r="184"><cell r="M184" t="str"><v>BRm</v></cell><cell r="N184"><v>5</v></cell></row><row r="184"><cell r="S184"><v>1317</v></cell></row><row r="185"><cell r="A185" t="str"><v>CISARV</v></cell><cell r="B185" t="str"><v>Cirsium arvense</v></cell></row><row r="185"><cell r="E185" t="str"><v>(L.) Scop.     </v></cell></row><row r="185"><cell r="M185" t="str"><v>PHx</v></cell><cell r="N185"><v>1</v></cell></row><row r="185"><cell r="Q185" t="str"><v>DICOT</v></cell></row><row r="185"><cell r="S185"><v>1733</v></cell></row><row r="186"><cell r="A186" t="str"><v>CISOLE</v></cell><cell r="B186" t="str"><v>Cirsium oleraceum</v></cell></row><row r="186"><cell r="E186" t="str"><v>(L.) Scop.     </v></cell></row><row r="186"><cell r="M186" t="str"><v>PHg</v></cell><cell r="N186"><v>9</v></cell><cell r="O186" t="str"><v>HYG</v></cell></row><row r="186"><cell r="Q186" t="str"><v>DICOT</v></cell></row><row r="186"><cell r="S186"><v>1737</v></cell></row><row r="187"><cell r="A187" t="str"><v>CISPAL</v></cell><cell r="B187" t="str"><v>Cirsium palustre</v></cell></row><row r="187"><cell r="E187" t="str"><v>(L.) Scop.     </v></cell></row><row r="187"><cell r="M187" t="str"><v>PHg</v></cell><cell r="N187"><v>9</v></cell><cell r="O187" t="str"><v>HYG</v></cell></row><row r="187"><cell r="Q187" t="str"><v>DICOT</v></cell></row><row r="187"><cell r="S187"><v>1738</v></cell></row><row r="188"><cell r="A188" t="str"><v>CLASPX</v></cell><cell r="B188" t="str"><v>Cladophora sp.</v></cell><cell r="C188"><v>6</v></cell><cell r="D188"><v>1</v></cell><cell r="E188" t="str"><v>Kützing      </v></cell></row><row r="188"><cell r="M188" t="str"><v>ALG</v></cell><cell r="N188"><v>2</v></cell></row><row r="188"><cell r="P188" t="str"><v>IBMR</v></cell></row><row r="188"><cell r="S188"><v>1124</v></cell></row><row r="189"><cell r="A189" t="str"><v>CLDMAR</v></cell><cell r="B189" t="str"><v>Cladium mariscus</v></cell></row><row r="189"><cell r="E189" t="str"><v>      </v></cell></row><row r="189"><cell r="M189" t="str"><v>PHe</v></cell><cell r="N189"><v>8</v></cell><cell r="O189" t="str"><v>HEL</v></cell></row><row r="189"><cell r="Q189" t="str"><v>MONOCOT</v></cell></row><row r="189"><cell r="S189"><v>1493</v></cell></row><row r="190"><cell r="A190" t="str"><v>CLIDEN</v></cell><cell r="B190" t="str"><v>Climacium dendroides</v></cell></row><row r="190"><cell r="E190" t="str"><v>(Hedw.) Web. & Mohr  </v></cell><cell r="F190" t="str"><v>Calliergon solitarium (Möll.) Broth.</v></cell></row><row r="190"><cell r="M190" t="str"><v>BRm</v></cell><cell r="N190"><v>5</v></cell></row><row r="190"><cell r="S190"><v>19597</v></cell></row><row r="191"><cell r="A191" t="str"><v>COILAC</v></cell><cell r="B191" t="str"><v>Coix lacryma-jobi</v></cell></row><row r="191"><cell r="E191" t="str"><v>      </v></cell></row><row r="191"><cell r="M191" t="str"><v>PHx</v></cell><cell r="N191"><v>1</v></cell></row><row r="191"><cell r="Q191" t="str"><v>MONOCOT</v></cell></row><row r="191"><cell r="S191"><v>19598</v></cell></row><row r="192"><cell r="A192" t="str"><v>COLFLU</v></cell><cell r="B192" t="str"><v>Collema fluviatile</v></cell><cell r="C192"><v>17</v></cell><cell r="D192"><v>3</v></cell><cell r="E192" t="str"><v>      </v></cell></row><row r="192"><cell r="M192" t="str"><v>LIC</v></cell><cell r="N192"><v>3</v></cell></row><row r="192"><cell r="P192" t="str"><v>IBMR</v></cell></row><row r="192"><cell r="S192"><v>196</v></cell></row><row r="193"><cell r="A193" t="str"><v>COLSPX</v></cell><cell r="B193" t="str"><v>Collema sp.</v></cell></row><row r="193"><cell r="E193" t="str"><v>      </v></cell></row><row r="193"><cell r="M193" t="str"><v>LIC</v></cell><cell r="N193"><v>3</v></cell></row><row r="193"><cell r="S193"><v>9675</v></cell></row><row r="194"><cell r="A194" t="str"><v>COMSPX</v></cell><cell r="B194" t="str"><v>Compsopogon sp.</v></cell></row><row r="194"><cell r="E194" t="str"><v>Mont.  emend. Rintoul, Sheath et Vis</v></cell><cell r="F194" t="str"><v>Pericystis J. Agardh</v></cell></row><row r="194"><cell r="M194" t="str"><v>ALG</v></cell><cell r="N194"><v>2</v></cell></row><row r="194"><cell r="S194"><v>671</v></cell></row><row r="195"><cell r="A195" t="str"><v>CONCON</v></cell><cell r="B195" t="str"><v>Conocephalum conicum</v></cell></row><row r="195"><cell r="E195" t="str"><v>(L.) Dumort.     </v></cell><cell r="F195" t="str"><v>Marchantia conica L.</v></cell><cell r="G195" t="str"><v>Conocephalum Kiaeri (Kaal.) Grolle</v></cell><cell r="H195" t="str"><v>Conocephalum officinale Trevis</v></cell><cell r="I195" t="str"><v>Conocephalum trioicum F. Weber</v></cell><cell r="J195" t="str"><v>Fegatella conica (L.) Corda</v></cell><cell r="K195" t="str"><v>Fegatella officinalis Raddi</v></cell></row><row r="195"><cell r="M195" t="str"><v>BRh</v></cell><cell r="N195"><v>4</v></cell></row><row r="195"><cell r="S195"><v>1176</v></cell></row><row r="196"><cell r="A196" t="str"><v>CORLIT</v></cell><cell r="B196" t="str"><v>Corrigiola littoralis</v></cell></row><row r="196"><cell r="E196" t="str"><v>      </v></cell></row><row r="196"><cell r="M196" t="str"><v>PHg</v></cell><cell r="N196"><v>9</v></cell><cell r="O196" t="str"><v>HYG</v></cell></row><row r="196"><cell r="Q196" t="str"><v>DICOT</v></cell></row><row r="196"><cell r="S196"><v>1961</v></cell></row><row r="197"><cell r="A197" t="str"><v>COTCOR</v></cell><cell r="B197" t="str"><v>Cotula coronopifolia</v></cell></row><row r="197"><cell r="E197" t="str"><v>      </v></cell></row><row r="197"><cell r="M197" t="str"><v>PHe</v></cell><cell r="N197"><v>8</v></cell><cell r="O197" t="str"><v>HEL</v></cell></row><row r="197"><cell r="Q197" t="str"><v>DICOT</v></cell></row><row r="197"><cell r="S197"><v>1962</v></cell></row><row r="198"><cell r="A198" t="str"><v>CRACOM</v></cell><cell r="B198" t="str"><v>Cratoneuron commutatum</v></cell><cell r="C198"><v>15</v></cell><cell r="D198"><v>2</v></cell><cell r="E198" t="str"><v>(Hedw.) G. Roth   </v></cell><cell r="F198" t="str"><v>Cratoneuron falcatum (Brid.) G. Roth</v></cell></row><row r="198"><cell r="M198" t="str"><v>BRm</v></cell><cell r="N198"><v>5</v></cell></row><row r="198"><cell r="P198" t="str"><v>IBMR</v></cell></row><row r="198"><cell r="S198"><v>1232</v></cell></row><row r="199"><cell r="A199" t="str"><v>CRAFIL</v></cell><cell r="B199" t="str"><v>Cratoneuron filicinum</v></cell><cell r="C199"><v>18</v></cell><cell r="D199"><v>3</v></cell><cell r="E199" t="str"><v>(Hedw.) Spruce</v></cell><cell r="F199" t="str"><v>Amblystegium boreale Dix.</v></cell><cell r="G199" t="str"><v>Cratoneuron articum Steere</v></cell></row><row r="199"><cell r="M199" t="str"><v>BRm</v></cell><cell r="N199"><v>5</v></cell></row><row r="199"><cell r="P199" t="str"><v>IBMR</v></cell></row><row r="199"><cell r="S199"><v>1233</v></cell></row><row r="200"><cell r="A200" t="str"><v>CRASPX</v></cell><cell r="B200" t="str"><v>Cratoneuron sp.</v></cell></row><row r="200"><cell r="E200" t="str"><v>(Sull.) Spruce </v></cell></row><row r="200"><cell r="M200" t="str"><v>BRm</v></cell><cell r="N200"><v>5</v></cell></row><row r="200"><cell r="S200"><v>1231</v></cell></row><row r="201"><cell r="A201" t="str"><v>CRSAQU</v></cell><cell r="B201" t="str"><v>Crassula aquatica</v></cell></row><row r="201"><cell r="E201" t="str"><v>      </v></cell></row><row r="201"><cell r="M201" t="str"><v>PHe</v></cell><cell r="N201"><v>8</v></cell><cell r="O201" t="str"><v>HEL</v></cell></row><row r="201"><cell r="Q201" t="str"><v>DICOT</v></cell></row><row r="201"><cell r="S201"><v>1963</v></cell></row><row r="202"><cell r="A202" t="str"><v>CRSHEL</v></cell><cell r="B202" t="str"><v>Crassula helmsii</v></cell></row><row r="202"><cell r="E202" t="str"><v>(Kirk) Cockayne     </v></cell></row><row r="202"><cell r="M202" t="str"><v>PHe</v></cell><cell r="N202"><v>8</v></cell><cell r="O202" t="str"><v>HEL</v></cell></row><row r="202"><cell r="Q202" t="str"><v>DICOT</v></cell></row><row r="202"><cell r="S202"><v>1964</v></cell></row><row r="203"><cell r="A203" t="str"><v>CTEMOL</v></cell><cell r="B203" t="str"><v>Ctenidium molluscum</v></cell></row><row r="203"><cell r="E203" t="str"><v>(Hedw.) Mitt.     </v></cell><cell r="F203" t="str"><v>Hypnum balearicum Dix.</v></cell></row><row r="203"><cell r="M203" t="str"><v>BRm</v></cell><cell r="N203"><v>5</v></cell></row><row r="203"><cell r="S203"><v>1961</v></cell></row><row r="204"><cell r="A204" t="str"><v>CYLSPX</v></cell><cell r="B204" t="str"><v>Cylindrospermum sp.</v></cell></row><row r="204"><cell r="E204" t="str"><v>Kützing      </v></cell></row><row r="204"><cell r="M204" t="str"><v>ALG</v></cell><cell r="N204"><v>2</v></cell></row><row r="204"><cell r="S204"><v>114</v></cell></row><row r="205"><cell r="A205" t="str"><v>CYPERA</v></cell><cell r="B205" t="str"><v>Cyperus eragrostis</v></cell></row><row r="205"><cell r="E205" t="str"><v>      </v></cell></row><row r="205"><cell r="M205" t="str"><v>PHg</v></cell><cell r="N205"><v>9</v></cell><cell r="O205" t="str"><v>HYG</v></cell></row><row r="205"><cell r="Q205" t="str"><v>MONOCOT</v></cell></row><row r="205"><cell r="S205"><v>19611</v></cell></row><row r="206"><cell r="A206" t="str"><v>CYPFUS</v></cell><cell r="B206" t="str"><v>Cyperus fuscus</v></cell></row><row r="206"><cell r="E206" t="str"><v>L.      </v></cell></row><row r="206"><cell r="M206" t="str"><v>PHe</v></cell><cell r="N206"><v>8</v></cell><cell r="O206" t="str"><v>HEL</v></cell></row><row r="206"><cell r="Q206" t="str"><v>MONOCOT</v></cell></row><row r="206"><cell r="S206"><v>1499</v></cell></row><row r="207"><cell r="A207" t="str"><v>CYPLON</v></cell><cell r="B207" t="str"><v>Cyperus longus</v></cell></row><row r="207"><cell r="E207" t="str"><v>L.      </v></cell></row><row r="207"><cell r="M207" t="str"><v>PHg</v></cell><cell r="N207"><v>9</v></cell><cell r="O207" t="str"><v>HYG</v></cell></row><row r="207"><cell r="Q207" t="str"><v>MONOCOT</v></cell></row><row r="207"><cell r="S207"><v>15</v></cell></row><row r="208"><cell r="A208" t="str"><v>CYPSER</v></cell><cell r="B208" t="str"><v>Cyperus serotinus</v></cell></row><row r="208"><cell r="E208" t="str"><v>Rottb.      </v></cell></row><row r="208"><cell r="M208" t="str"><v>PHg</v></cell><cell r="N208"><v>9</v></cell><cell r="O208" t="str"><v>HYG</v></cell></row><row r="208"><cell r="Q208" t="str"><v>MONOCOT</v></cell></row><row r="208"><cell r="S208"><v>152</v></cell></row><row r="209"><cell r="A209" t="str"><v>CYPSPX</v></cell><cell r="B209" t="str"><v>Cyperus sp.</v></cell></row><row r="209"><cell r="E209" t="str"><v>      </v></cell></row><row r="209"><cell r="M209" t="str"><v>PHg</v></cell><cell r="N209"><v>9</v></cell><cell r="O209" t="str"><v>HYG</v></cell></row><row r="209"><cell r="Q209" t="str"><v>MONOCOT</v></cell></row><row r="209"><cell r="S209"><v>1494</v></cell></row><row r="210"><cell r="A210" t="str"><v>DAMALI</v></cell><cell r="B210" t="str"><v>Damasonium alisma</v></cell></row><row r="210"><cell r="E210" t="str"><v>Miller      </v></cell></row><row r="210"><cell r="M210" t="str"><v>PHe</v></cell><cell r="N210"><v>8</v></cell><cell r="O210" t="str"><v>HYD/HEL</v></cell></row><row r="210"><cell r="Q210" t="str"><v>MONOCOT</v></cell></row><row r="210"><cell r="S210"><v>1895</v></cell></row><row r="211"><cell r="A211" t="str"><v>DAMBOU</v></cell><cell r="B211" t="str"><v>Damasonium bourgaei</v></cell></row><row r="211"><cell r="E211" t="str"><v>      </v></cell></row><row r="211"><cell r="M211" t="str"><v>PHx</v></cell><cell r="N211"><v>1</v></cell></row><row r="211"><cell r="Q211" t="str"><v>MONOCOT</v></cell></row><row r="211"><cell r="S211"><v>19612</v></cell></row><row r="212"><cell r="A212" t="str"><v>DAMPOL</v></cell><cell r="B212" t="str"><v>Damasonium polyspermum</v></cell></row><row r="212"><cell r="E212" t="str"><v>Cosson      </v></cell></row><row r="212"><cell r="M212" t="str"><v>PHx</v></cell><cell r="N212"><v>1</v></cell></row><row r="212"><cell r="Q212" t="str"><v>MONOCOT</v></cell></row><row r="212"><cell r="S212"><v>19613</v></cell></row><row r="213"><cell r="A213" t="str"><v>DERSPX</v></cell><cell r="B213" t="str"><v>Dermatocarpon sp.</v></cell></row><row r="213"><cell r="E213" t="str"><v>      </v></cell></row><row r="213"><cell r="M213" t="str"><v>LIC</v></cell><cell r="N213"><v>3</v></cell></row><row r="213"><cell r="S213"><v>19614</v></cell></row><row r="214"><cell r="A214" t="str"><v>DERWEB</v></cell><cell r="B214" t="str"><v>Dermatocarpon weberi</v></cell><cell r="C214"><v>16</v></cell><cell r="D214"><v>3</v></cell><cell r="E214" t="str"><v>      </v></cell></row><row r="214"><cell r="M214" t="str"><v>LIC</v></cell><cell r="N214"><v>3</v></cell></row><row r="214"><cell r="P214" t="str"><v>IBMR</v></cell></row><row r="214"><cell r="S214"><v>1217</v></cell></row><row r="215"><cell r="A215" t="str"><v>DESCES</v></cell><cell r="B215" t="str"><v>Deschampsia cespitosa</v></cell></row><row r="215"><cell r="E215" t="str"><v>(L.) P. Beauv    </v></cell></row><row r="215"><cell r="M215" t="str"><v>PHg</v></cell><cell r="N215"><v>9</v></cell><cell r="O215" t="str"><v>HYG</v></cell></row><row r="215"><cell r="Q215" t="str"><v>MONOCOT</v></cell></row><row r="215"><cell r="S215"><v>1557</v></cell></row><row r="216"><cell r="A216" t="str"><v>DIASPX</v></cell><cell r="B216" t="str"><v>Diatoma sp.</v></cell><cell r="C216"><v>12</v></cell><cell r="D216"><v>2</v></cell><cell r="E216" t="str"><v>Bory de St Vincent   </v></cell></row><row r="216"><cell r="M216" t="str"><v>ALG</v></cell><cell r="N216"><v>2</v></cell></row><row r="216"><cell r="P216" t="str"><v>IBMR</v></cell></row><row r="216"><cell r="S216"><v>6627</v></cell></row><row r="217"><cell r="A217" t="str"><v>DICPAL</v></cell><cell r="B217" t="str"><v>Dicranella palustris</v></cell></row><row r="217"><cell r="E217" t="str"><v>(Dicks.) Crundw. ex Warb.      </v></cell><cell r="F217" t="str"><v>Dicranella squarrosa (Schrad.) Schimp.</v></cell><cell r="G217" t="str"><v>Anisothecium palustre (Dicks.) I.Hag.</v></cell><cell r="H217" t="str"><v>Anisothecium squarrosum (Schrad.) Lindb.</v></cell><cell r="I217" t="str"><v>Diobelon squarrosum (Schrad.) Hampe</v></cell></row><row r="217"><cell r="M217" t="str"><v>BRm</v></cell><cell r="N217"><v>5</v></cell></row><row r="217"><cell r="S217"><v>128</v></cell></row><row r="218"><cell r="A218" t="str"><v>DICSPX</v></cell><cell r="B218" t="str"><v>Dicranella sp.</v></cell></row><row r="218"><cell r="E218" t="str"><v>(C. Müll.) Schimp.</v></cell></row><row r="218"><cell r="M218" t="str"><v>BRm</v></cell><cell r="N218"><v>5</v></cell></row><row r="218"><cell r="S218"><v>1279</v></cell></row><row r="219"><cell r="A219" t="str"><v>DIHFLA</v></cell><cell r="B219" t="str"><v>Dichodontium flavescens</v></cell></row><row r="219"><cell r="E219" t="str"><v>(Dicks.) Lindb.  </v></cell><cell r="F219" t="str"><v>Dichodontium pellucidum (Hedw.) Schimp. var. flavescens (With.) Husnot</v></cell></row><row r="219"><cell r="M219" t="str"><v>BRm</v></cell><cell r="N219"><v>5</v></cell></row><row r="219"><cell r="S219"><v>1277</v></cell></row><row r="220"><cell r="A220" t="str"><v>DIHPEL</v></cell><cell r="B220" t="str"><v>Dichodontium pellucidum</v></cell></row><row r="220"><cell r="E220" t="str"><v>(Hedw.) Schimp.     </v></cell></row><row r="220"><cell r="M220" t="str"><v>BRm</v></cell><cell r="N220"><v>5</v></cell></row><row r="220"><cell r="S220"><v>1278</v></cell></row><row r="221"><cell r="A221" t="str"><v>DIHSPX</v></cell><cell r="B221" t="str"><v>Dichodontium sp.</v></cell></row><row r="221"><cell r="E221" t="str"><v>Schimp.</v></cell></row><row r="221"><cell r="M221" t="str"><v>BRm</v></cell><cell r="N221"><v>5</v></cell></row><row r="221"><cell r="S221"><v>1276</v></cell></row><row r="222"><cell r="A222" t="str"><v>DIRSCO</v></cell><cell r="B222" t="str"><v>Dicranum scottianum</v></cell></row><row r="222"><cell r="E222" t="str"><v>Turn.      </v></cell><cell r="F222" t="str"><v>Orthodicranum scottianum (Turn.) G. Roth ex Cas.-Gil</v></cell></row><row r="222"><cell r="M222" t="str"><v>BRm</v></cell><cell r="N222"><v>5</v></cell></row><row r="222"><cell r="S222"><v>19616</v></cell></row><row r="223"><cell r="A223" t="str"><v>DRASPX</v></cell><cell r="B223" t="str"><v>Draparnaldia sp.</v></cell><cell r="C223"><v>18</v></cell><cell r="D223"><v>3</v></cell><cell r="E223" t="str"><v>Bory de St Vincent   </v></cell></row><row r="223"><cell r="M223" t="str"><v>ALG</v></cell><cell r="N223"><v>2</v></cell></row><row r="223"><cell r="P223" t="str"><v>IBMR</v></cell></row><row r="223"><cell r="S223"><v>1118</v></cell></row><row r="224"><cell r="A224" t="str"><v>DREADU</v></cell><cell r="B224" t="str"><v>Drepanocladus aduncus</v></cell><cell r="C224"><v>15</v></cell><cell r="D224"><v>3</v></cell><cell r="E224" t="str"><v>(Hedw.) Warnst.</v></cell><cell r="F224" t="str"><v>Drepanocladus kneiffii (B., S. & G.) Warnst.</v></cell><cell r="G224" t="str"><v>Drepanocladus polycarpus (Voit) Warnst.</v></cell><cell r="H224" t="str"><v>Drepanocladus simplicissimus Warnst.</v></cell></row><row r="224"><cell r="M224" t="str"><v>BRm</v></cell><cell r="N224"><v>5</v></cell></row><row r="224"><cell r="P224" t="str"><v>IBMR</v></cell></row><row r="224"><cell r="S224"><v>1211</v></cell></row><row r="225"><cell r="A225" t="str"><v>DREEXA</v></cell><cell r="B225" t="str"><v>Drepanocladus exannulatus</v></cell></row><row r="225"><cell r="E225" t="str"><v>(B., S. & G.) Warnst.     </v></cell><cell r="F225" t="str"><v>Warnstorfia exannulata (B., S. & G.) Loeske      </v></cell><cell r="G225" t="str"><v>Drepanocladus procerus (Ren. & H. Arn.) Warnst.</v></cell><cell r="H225" t="str"><v>Drepanocladus prupurascens (Schimp.) Loeske</v></cell></row><row r="225"><cell r="M225" t="str"><v>BRm</v></cell><cell r="N225"><v>5</v></cell></row><row r="225"><cell r="S225"><v>1962</v></cell></row><row r="226"><cell r="A226" t="str"><v>DREFLU</v></cell><cell r="B226" t="str"><v>Drepanocladus fluitans</v></cell><cell r="C226"><v>14</v></cell><cell r="D226"><v>2</v></cell><cell r="E226" t="str"><v>(Hedw.) Warnst.</v></cell><cell r="F226" t="str"><v>Warnstorfia fluitans (Hedw.) Loeske</v></cell><cell r="G226" t="str"><v>Campylium brachycarpum G. Roth</v></cell><cell r="H226" t="str"><v>Drepanocladus h-schulzei (Limpr.) Loeske</v></cell><cell r="I226" t="str"><v>Drepanocladus schulzei G. Roth</v></cell></row><row r="226"><cell r="M226" t="str"><v>BRm</v></cell><cell r="N226"><v>5</v></cell></row><row r="226"><cell r="P226" t="str"><v>IBMR</v></cell></row><row r="226"><cell r="S226"><v>25779</v></cell></row><row r="227"><cell r="A227" t="str"><v>DRESPX</v></cell><cell r="B227" t="str"><v>Drepanocladus sp.</v></cell></row><row r="227"><cell r="E227" t="str"><v>(C. Müll.) G. Roth</v></cell></row><row r="227"><cell r="M227" t="str"><v>BRm</v></cell><cell r="N227"><v>5</v></cell></row><row r="227"><cell r="S227"><v>1234</v></cell></row><row r="228"><cell r="A228" t="str"><v>DROROT</v></cell><cell r="B228" t="str"><v>Drosera rotundifolia</v></cell></row><row r="228"><cell r="E228" t="str"><v>      </v></cell></row><row r="228"><cell r="M228" t="str"><v>PHe</v></cell><cell r="N228"><v>8</v></cell><cell r="O228" t="str"><v>HEL</v></cell></row><row r="228"><cell r="Q228" t="str"><v>DICOT</v></cell></row><row r="228"><cell r="S228"><v>1532</v></cell></row><row r="229"><cell r="A229" t="str"><v>DRYCAR</v></cell><cell r="B229" t="str"><v>Dryopteris carthusiana</v></cell></row><row r="229"><cell r="E229" t="str"><v>(Villar) H.P. Fuschs    </v></cell></row><row r="229"><cell r="M229" t="str"><v>PTE</v></cell><cell r="N229"><v>6</v></cell></row><row r="229"><cell r="S229"><v>1418</v></cell></row><row r="230"><cell r="A230" t="str"><v>DUMHIR</v></cell><cell r="B230" t="str"><v>Dumortiera hirsuta</v></cell></row><row r="230"><cell r="E230" t="str"><v>(Sw.) Nees     </v></cell><cell r="F230" t="str"><v>Marchantia hirsuta Sw.</v></cell><cell r="G230" t="str"><v>Dumortiera irrigua (Taylor) Nees</v></cell><cell r="H230" t="str"><v>Hygrophila irrigua Taylor</v></cell><cell r="I230" t="str"><v>Marchantia irrigua (Taylor) Wilson</v></cell></row><row r="230"><cell r="M230" t="str"><v>BRh</v></cell><cell r="N230"><v>4</v></cell></row><row r="230"><cell r="S230"><v>19624</v></cell></row><row r="231"><cell r="A231" t="str"><v>ECHORY</v></cell><cell r="B231" t="str"><v>Echinochloa oryzoides</v></cell></row><row r="231"><cell r="E231" t="str"><v>      </v></cell></row><row r="231"><cell r="M231" t="str"><v>PHg</v></cell><cell r="N231"><v>9</v></cell><cell r="O231" t="str"><v>HYG</v></cell></row><row r="231"><cell r="Q231" t="str"><v>MONOCOT</v></cell></row><row r="231"><cell r="S231"><v>1561</v></cell></row><row r="232"><cell r="A232" t="str"><v>ECLPRO</v></cell><cell r="B232" t="str"><v>Eclipta prostrata</v></cell></row><row r="232"><cell r="E232" t="str"><v>      </v></cell></row><row r="232"><cell r="M232" t="str"><v>PHx</v></cell><cell r="N232"><v>1</v></cell></row><row r="232"><cell r="Q232" t="str"><v>DICOT</v></cell></row><row r="232"><cell r="S232"><v>19625</v></cell></row><row r="233"><cell r="A233" t="str"><v>EGEDEN</v></cell><cell r="B233" t="str"><v>Egeria densa</v></cell></row><row r="233"><cell r="E233" t="str"><v>Planch      </v></cell></row><row r="233"><cell r="M233" t="str"><v>PHy</v></cell><cell r="N233"><v>7</v></cell><cell r="O233" t="str"><v>HYD</v></cell></row><row r="233"><cell r="Q233" t="str"><v>MONOCOT</v></cell></row><row r="233"><cell r="S233"><v>19626</v></cell></row><row r="234"><cell r="A234" t="str"><v>EICCRA</v></cell><cell r="B234" t="str"><v>Eichhornia crassipes</v></cell></row><row r="234"><cell r="E234" t="str"><v>      </v></cell></row><row r="234"><cell r="M234" t="str"><v>PHy</v></cell><cell r="N234"><v>7</v></cell><cell r="O234" t="str"><v>HYD</v></cell></row><row r="234"><cell r="Q234" t="str"><v>MONOCOT</v></cell></row><row r="234"><cell r="S234"><v>19627</v></cell></row><row r="235"><cell r="A235" t="str"><v>EICSPX</v></cell><cell r="B235" t="str"><v>Eichhornia sp.</v></cell></row><row r="235"><cell r="E235" t="str"><v>      </v></cell></row><row r="235"><cell r="M235" t="str"><v>PHy</v></cell><cell r="N235"><v>7</v></cell><cell r="O235" t="str"><v>HYD</v></cell></row><row r="235"><cell r="Q235" t="str"><v>MONOCOT</v></cell></row><row r="235"><cell r="S235"><v>19628</v></cell></row><row r="236"><cell r="A236" t="str"><v>ELAALS</v></cell><cell r="B236" t="str"><v>Elatine alsinastrum</v></cell></row><row r="236"><cell r="E236" t="str"><v>L.      </v></cell></row><row r="236"><cell r="M236" t="str"><v>PHg</v></cell><cell r="N236"><v>9</v></cell><cell r="O236" t="str"><v>HYG</v></cell></row><row r="236"><cell r="Q236" t="str"><v>DICOT</v></cell></row><row r="236"><cell r="S236"><v>1535</v></cell></row><row r="237"><cell r="A237" t="str"><v>ELAAMB</v></cell><cell r="B237" t="str"><v>Elatine ambigua</v></cell></row><row r="237"><cell r="E237" t="str"><v>      </v></cell></row><row r="237"><cell r="M237" t="str"><v>PHg</v></cell><cell r="N237"><v>9</v></cell><cell r="O237" t="str"><v>HYG</v></cell></row><row r="237"><cell r="Q237" t="str"><v>DICOT</v></cell></row><row r="237"><cell r="S237"><v>19629</v></cell></row><row r="238"><cell r="A238" t="str"><v>ELABRO</v></cell><cell r="B238" t="str"><v>Elatine brochonii</v></cell></row><row r="238"><cell r="E238" t="str"><v>      </v></cell></row><row r="238"><cell r="M238" t="str"><v>PHg</v></cell><cell r="N238"><v>9</v></cell><cell r="O238" t="str"><v>HYG</v></cell></row><row r="238"><cell r="Q238" t="str"><v>DICOT</v></cell></row><row r="238"><cell r="S238"><v>1963</v></cell></row><row r="239"><cell r="A239" t="str"><v>ELAHEX</v></cell><cell r="B239" t="str"><v>Elatine hexandra</v></cell></row><row r="239"><cell r="E239" t="str"><v>(Lapierre) DC     </v></cell></row><row r="239"><cell r="M239" t="str"><v>PHg</v></cell><cell r="N239"><v>9</v></cell><cell r="O239" t="str"><v>HYG</v></cell></row><row r="239"><cell r="Q239" t="str"><v>DICOT</v></cell></row><row r="239"><cell r="S239"><v>1536</v></cell></row><row r="240"><cell r="A240" t="str"><v>ELAHUN</v></cell><cell r="B240" t="str"><v>Elatine hungarica</v></cell></row><row r="240"><cell r="E240" t="str"><v>      </v></cell></row><row r="240"><cell r="M240" t="str"><v>PHg</v></cell><cell r="N240"><v>9</v></cell><cell r="O240" t="str"><v>HYG</v></cell></row><row r="240"><cell r="Q240" t="str"><v>DICOT</v></cell></row><row r="240"><cell r="S240"><v>19631</v></cell></row><row r="241"><cell r="A241" t="str"><v>ELAHYD</v></cell><cell r="B241" t="str"><v>Elatine hydropiper</v></cell></row><row r="241"><cell r="E241" t="str"><v>L.      </v></cell></row><row r="241"><cell r="M241" t="str"><v>PHg</v></cell><cell r="N241"><v>9</v></cell><cell r="O241" t="str"><v>HYG</v></cell></row><row r="241"><cell r="Q241" t="str"><v>DICOT</v></cell></row><row r="241"><cell r="S241"><v>1537</v></cell></row><row r="242"><cell r="A242" t="str"><v>ELAMAC</v></cell><cell r="B242" t="str"><v>Elatine macropoda</v></cell></row><row r="242"><cell r="E242" t="str"><v>Guss.      </v></cell></row><row r="242"><cell r="M242" t="str"><v>PHg</v></cell><cell r="N242"><v>9</v></cell><cell r="O242" t="str"><v>HYG</v></cell></row><row r="242"><cell r="Q242" t="str"><v>DICOT</v></cell></row><row r="242"><cell r="S242"><v>19632</v></cell></row><row r="243"><cell r="A243" t="str"><v>ELAORT</v></cell><cell r="B243" t="str"><v>Elatine orthosperma</v></cell></row><row r="243"><cell r="E243" t="str"><v>      </v></cell></row><row r="243"><cell r="M243" t="str"><v>PHg</v></cell><cell r="N243"><v>9</v></cell><cell r="O243" t="str"><v>HYG</v></cell></row><row r="243"><cell r="Q243" t="str"><v>DICOT</v></cell></row><row r="243"><cell r="S243"><v>19633</v></cell></row><row r="244"><cell r="A244" t="str"><v>ELASPX</v></cell><cell r="B244" t="str"><v>Elatine sp.</v></cell></row><row r="244"><cell r="E244" t="str"><v>      </v></cell></row><row r="244"><cell r="M244" t="str"><v>PHg</v></cell><cell r="N244"><v>9</v></cell><cell r="O244" t="str"><v>HYG</v></cell></row><row r="244"><cell r="Q244" t="str"><v>DICOT</v></cell></row><row r="244"><cell r="S244"><v>1534</v></cell></row><row r="245"><cell r="A245" t="str"><v>ELATRI</v></cell><cell r="B245" t="str"><v>Elatine triandra</v></cell></row><row r="245"><cell r="E245" t="str"><v>Schkuhr      </v></cell></row><row r="245"><cell r="M245" t="str"><v>PHg</v></cell><cell r="N245"><v>9</v></cell><cell r="O245" t="str"><v>HYG</v></cell></row><row r="245"><cell r="Q245" t="str"><v>DICOT</v></cell></row><row r="245"><cell r="S245"><v>19634</v></cell></row><row r="246"><cell r="A246" t="str"><v>ELDPAL</v></cell><cell r="B246" t="str"><v>Elodes palustris</v></cell><cell r="C246"><v>17</v></cell><cell r="D246"><v>3</v></cell><cell r="E246" t="str"><v>Spach      </v></cell><cell r="F246" t="str"><v>Hypericum elodes L.</v></cell></row><row r="246"><cell r="M246" t="str"><v>PHe</v></cell><cell r="N246"><v>8</v></cell><cell r="O246" t="str"><v>HYD/HEL</v></cell><cell r="P246" t="str"><v>IBMR</v></cell><cell r="Q246" t="str"><v>DICOT</v></cell></row><row r="246"><cell r="S246"><v>19643</v></cell></row><row r="247"><cell r="A247" t="str"><v>ELEACI</v></cell><cell r="B247" t="str"><v>Eleocharis acicularis</v></cell></row><row r="247"><cell r="E247" t="str"><v>(L) Roem & Schult   </v></cell></row><row r="247"><cell r="M247" t="str"><v>PHe</v></cell><cell r="N247"><v>8</v></cell><cell r="O247" t="str"><v>HYD/HEL</v></cell></row><row r="247"><cell r="Q247" t="str"><v>MONOCOT</v></cell></row><row r="247"><cell r="S247"><v>154</v></cell></row><row r="248"><cell r="A248" t="str"><v>ELEAUS</v></cell><cell r="B248" t="str"><v>Eleocharis austriaca</v></cell></row><row r="248"><cell r="E248" t="str"><v>Hayek      </v></cell></row><row r="248"><cell r="M248" t="str"><v>PHe</v></cell><cell r="N248"><v>8</v></cell><cell r="O248" t="str"><v>HYD/HEL</v></cell></row><row r="248"><cell r="Q248" t="str"><v>MONOCOT</v></cell></row><row r="248"><cell r="S248"><v>19635</v></cell></row><row r="249"><cell r="A249" t="str"><v>ELEMAM</v></cell><cell r="B249" t="str"><v>Eleocharis mamillata</v></cell></row><row r="249"><cell r="E249" t="str"><v>      </v></cell></row><row r="249"><cell r="M249" t="str"><v>PHx</v></cell><cell r="N249"><v>1</v></cell></row><row r="249"><cell r="Q249" t="str"><v>MONOCOT</v></cell></row><row r="249"><cell r="S249"><v>19636</v></cell></row><row r="250"><cell r="A250" t="str"><v>ELEOVA</v></cell><cell r="B250" t="str"><v>Eleocharis ovata</v></cell></row><row r="250"><cell r="E250" t="str"><v>(Roth) Roem. & Schult.   </v></cell></row><row r="250"><cell r="M250" t="str"><v>PHg</v></cell><cell r="N250"><v>9</v></cell><cell r="O250" t="str"><v>HYG/HEL</v></cell></row><row r="250"><cell r="Q250" t="str"><v>MONOCOT</v></cell></row><row r="250"><cell r="S250"><v>19637</v></cell></row><row r="251"><cell r="A251" t="str"><v>ELEPAL</v></cell><cell r="B251" t="str"><v>Eleocharis palustris</v></cell><cell r="C251"><v>12</v></cell><cell r="D251"><v>2</v></cell><cell r="E251" t="str"><v>(L.) Roemer & Schultes   </v></cell></row><row r="251"><cell r="M251" t="str"><v>PHe</v></cell><cell r="N251"><v>8</v></cell><cell r="O251" t="str"><v>HEL</v></cell><cell r="P251" t="str"><v>IBMR</v></cell><cell r="Q251" t="str"><v>MONOCOT</v></cell></row><row r="251"><cell r="S251"><v>156</v></cell></row><row r="252"><cell r="A252" t="str"><v>ELEPAP</v></cell><cell r="B252" t="str"><v>Eleocharis palustris subsp. palustris</v></cell><cell r="C252"><v>12</v></cell><cell r="D252"><v>2</v></cell><cell r="E252" t="str"><v>      </v></cell></row><row r="252"><cell r="M252" t="str"><v>PHe</v></cell><cell r="N252"><v>8</v></cell><cell r="O252" t="str"><v>HEL</v></cell></row><row r="252"><cell r="Q252" t="str"><v>MONOCOT</v></cell></row><row r="252"><cell r="S252"><v>19638</v></cell></row><row r="253"><cell r="A253" t="str"><v>ELEPAR</v></cell><cell r="B253" t="str"><v>Eleocharis parvula</v></cell></row><row r="253"><cell r="E253" t="str"><v>      </v></cell></row><row r="253"><cell r="M253" t="str"><v>PHg</v></cell><cell r="N253"><v>9</v></cell><cell r="O253" t="str"><v>HYG/HEL</v></cell></row><row r="253"><cell r="Q253" t="str"><v>MONOCOT</v></cell></row><row r="253"><cell r="S253"><v>1964</v></cell></row><row r="254"><cell r="A254" t="str"><v>ELEQUI</v></cell><cell r="B254" t="str"><v>Eleocharis quinqueflora</v></cell></row><row r="254"><cell r="E254" t="str"><v>(F. X. Hartman) O. Schwarz  </v></cell></row><row r="254"><cell r="M254" t="str"><v>PHx</v></cell><cell r="N254"><v>1</v></cell></row><row r="254"><cell r="Q254" t="str"><v>MONOCOT</v></cell></row><row r="254"><cell r="S254"><v>157</v></cell></row><row r="255"><cell r="A255" t="str"><v>ELESPX</v></cell><cell r="B255" t="str"><v>Eleocharis sp.</v></cell></row><row r="255"><cell r="E255" t="str"><v>      </v></cell></row><row r="255"><cell r="M255" t="str"><v>PHe</v></cell><cell r="N255"><v>8</v></cell><cell r="O255" t="str"><v>HEL</v></cell></row><row r="255"><cell r="Q255" t="str"><v>MONOCOT</v></cell></row><row r="255"><cell r="S255"><v>153</v></cell></row><row r="256"><cell r="A256" t="str"><v>ELESTR</v></cell><cell r="B256" t="str"><v>Eleocharis striatulus</v></cell></row><row r="256"><cell r="E256" t="str"><v>Desv.      </v></cell></row><row r="256"><cell r="M256" t="str"><v>PHx</v></cell><cell r="N256"><v>1</v></cell></row><row r="256"><cell r="Q256" t="str"><v>MONOCOT</v></cell></row><row r="256"><cell r="S256"><v>19641</v></cell></row><row r="257"><cell r="A257" t="str"><v>ELEUNI</v></cell><cell r="B257" t="str"><v>Eleocharis uniglumis</v></cell></row><row r="257"><cell r="E257" t="str"><v>(Link) Schultes     </v></cell></row><row r="257"><cell r="M257" t="str"><v>PHg</v></cell><cell r="N257"><v>9</v></cell><cell r="O257" t="str"><v>HYG</v></cell></row><row r="257"><cell r="Q257" t="str"><v>MONOCOT</v></cell></row><row r="257"><cell r="S257"><v>158</v></cell></row><row r="258"><cell r="A258" t="str"><v>ELEVUL</v></cell><cell r="B258" t="str"><v>Eleocharis palustris subsp. vulgaris</v></cell><cell r="C258"><v>12</v></cell><cell r="D258"><v>2</v></cell><cell r="E258" t="str"><v>      </v></cell></row><row r="258"><cell r="M258" t="str"><v>PHe</v></cell><cell r="N258"><v>8</v></cell><cell r="O258" t="str"><v>HEL</v></cell></row><row r="258"><cell r="Q258" t="str"><v>MONOCOT</v></cell></row><row r="258"><cell r="S258"><v>19639</v></cell></row><row r="259"><cell r="A259" t="str"><v>ELOCAL</v></cell><cell r="B259" t="str"><v>Elodea callitrichoides</v></cell></row><row r="259"><cell r="E259" t="str"><v>      </v></cell></row><row r="259"><cell r="M259" t="str"><v>PHy</v></cell><cell r="N259"><v>7</v></cell><cell r="O259" t="str"><v>HYD</v></cell></row><row r="259"><cell r="Q259" t="str"><v>MONOCOT</v></cell></row><row r="259"><cell r="S259"><v>19642</v></cell></row><row r="260"><cell r="A260" t="str"><v>ELOCAN</v></cell><cell r="B260" t="str"><v>Elodea canadensis</v></cell><cell r="C260"><v>10</v></cell><cell r="D260"><v>2</v></cell><cell r="E260" t="str"><v>Michx      </v></cell></row><row r="260"><cell r="M260" t="str"><v>PHy</v></cell><cell r="N260"><v>7</v></cell><cell r="O260" t="str"><v>HYD</v></cell><cell r="P260" t="str"><v>IBMR</v></cell><cell r="Q260" t="str"><v>MONOCOT</v></cell></row><row r="260"><cell r="S260"><v>1586</v></cell></row><row r="261"><cell r="A261" t="str"><v>ELOERN</v></cell><cell r="B261" t="str"><v>Elodea ernstiae</v></cell></row><row r="261"><cell r="E261" t="str"><v>      </v></cell></row><row r="261"><cell r="M261" t="str"><v>PHy</v></cell><cell r="N261"><v>7</v></cell><cell r="O261" t="str"><v>HYD</v></cell></row><row r="261"><cell r="Q261" t="str"><v>MONOCOT</v></cell></row><row r="261"><cell r="S261" t="str"><v>Pas de cd_sandre</v></cell></row><row r="262"><cell r="A262" t="str"><v>ELONUT</v></cell><cell r="B262" t="str"><v>Elodea nuttallii</v></cell><cell r="C262"><v>8</v></cell><cell r="D262"><v>2</v></cell><cell r="E262" t="str"><v>(Planchon) St John    </v></cell></row><row r="262"><cell r="M262" t="str"><v>PHy</v></cell><cell r="N262"><v>7</v></cell><cell r="O262" t="str"><v>HYD</v></cell><cell r="P262" t="str"><v>IBMR</v></cell><cell r="Q262" t="str"><v>MONOCOT</v></cell></row><row r="262"><cell r="S262"><v>1588</v></cell></row><row r="263"><cell r="A263" t="str"><v>ELOSPX</v></cell><cell r="B263" t="str"><v>Elodea sp.</v></cell></row><row r="263"><cell r="E263" t="str"><v>      </v></cell></row><row r="263"><cell r="M263" t="str"><v>PHy</v></cell><cell r="N263"><v>7</v></cell><cell r="O263" t="str"><v>HYD</v></cell></row><row r="263"><cell r="Q263" t="str"><v>MONOCOT</v></cell></row><row r="263"><cell r="S263"><v>1585</v></cell></row><row r="264"><cell r="A264" t="str"><v>ENTSPX</v></cell><cell r="B264" t="str"><v>Enteromorpha intestinalis</v></cell><cell r="C264"><v>3</v></cell><cell r="D264"><v>2</v></cell><cell r="E264" t="str"><v>(L.) Nees</v></cell><cell r="F264" t="str"><v>Enteromorpha compressa (L.) Greville</v></cell><cell r="G264" t="str"><v>Ulva intestinalis L.</v></cell></row><row r="264"><cell r="M264" t="str"><v>ALG</v></cell><cell r="N264"><v>2</v></cell></row><row r="264"><cell r="P264" t="str"><v>IBMR</v></cell></row><row r="264"><cell r="S264"><v>1144</v></cell></row><row r="265"><cell r="A265" t="str"><v>EPICIL</v></cell><cell r="B265" t="str"><v>Epilobium ciliatum</v></cell></row><row r="265"><cell r="E265" t="str"><v>Rafin.      </v></cell></row><row r="265"><cell r="M265" t="str"><v>PHg</v></cell><cell r="N265"><v>9</v></cell><cell r="O265" t="str"><v>HYG</v></cell></row><row r="265"><cell r="Q265" t="str"><v>DICOT</v></cell></row><row r="265"><cell r="S265"><v>1845</v></cell></row><row r="266"><cell r="A266" t="str"><v>EPIHIR</v></cell><cell r="B266" t="str"><v>Epilobium hirsutum</v></cell></row><row r="266"><cell r="E266" t="str"><v>L.      </v></cell></row><row r="266"><cell r="M266" t="str"><v>PHg</v></cell><cell r="N266"><v>9</v></cell><cell r="O266" t="str"><v>HYG</v></cell></row><row r="266"><cell r="Q266" t="str"><v>DICOT</v></cell></row><row r="266"><cell r="S266"><v>1846</v></cell></row><row r="267"><cell r="A267" t="str"><v>EPILAN</v></cell><cell r="B267" t="str"><v>Epilobium lanceolatum</v></cell></row><row r="267"><cell r="E267" t="str"><v>Sebast. & Mauri    </v></cell></row><row r="267"><cell r="M267" t="str"><v>PHg</v></cell><cell r="N267"><v>9</v></cell><cell r="O267" t="str"><v>HYG</v></cell></row><row r="267"><cell r="Q267" t="str"><v>DICOT</v></cell></row><row r="267"><cell r="S267"><v>19644</v></cell></row><row r="268"><cell r="A268" t="str"><v>EPIPAL</v></cell><cell r="B268" t="str"><v>Epilobium palustre</v></cell></row><row r="268"><cell r="E268" t="str"><v>L.      </v></cell></row><row r="268"><cell r="M268" t="str"><v>PHg</v></cell><cell r="N268"><v>9</v></cell><cell r="O268" t="str"><v>HYG</v></cell></row><row r="268"><cell r="Q268" t="str"><v>DICOT</v></cell></row><row r="268"><cell r="S268"><v>185</v></cell></row><row r="269"><cell r="A269" t="str"><v>EPIPAR</v></cell><cell r="B269" t="str"><v>Epilobium parviflorum</v></cell></row><row r="269"><cell r="E269" t="str"><v>Schreb.      </v></cell></row><row r="269"><cell r="M269" t="str"><v>PHg</v></cell><cell r="N269"><v>9</v></cell><cell r="O269" t="str"><v>HYG</v></cell></row><row r="269"><cell r="Q269" t="str"><v>DICOT</v></cell></row><row r="269"><cell r="S269"><v>1851</v></cell></row><row r="270"><cell r="A270" t="str"><v>EPIROS</v></cell><cell r="B270" t="str"><v>Epilobium roseum</v></cell></row><row r="270"><cell r="E270" t="str"><v>Schreb.      </v></cell></row><row r="270"><cell r="M270" t="str"><v>PHg</v></cell><cell r="N270"><v>9</v></cell><cell r="O270" t="str"><v>HYG</v></cell></row><row r="270"><cell r="Q270" t="str"><v>DICOT</v></cell></row><row r="270"><cell r="S270"><v>1852</v></cell></row><row r="271"><cell r="A271" t="str"><v>EPITET</v></cell><cell r="B271" t="str"><v>Epilobium tetragonum</v></cell></row><row r="271"><cell r="E271" t="str"><v>L.      </v></cell></row><row r="271"><cell r="M271" t="str"><v>PHg</v></cell><cell r="N271"><v>9</v></cell><cell r="O271" t="str"><v>HYG</v></cell></row><row r="271"><cell r="Q271" t="str"><v>DICOT</v></cell></row><row r="271"><cell r="S271"><v>1853</v></cell></row><row r="272"><cell r="A272" t="str"><v>EQUARV</v></cell><cell r="B272" t="str"><v>Equisetum arvense</v></cell></row><row r="272"><cell r="E272" t="str"><v>L.      </v></cell></row><row r="272"><cell r="M272" t="str"><v>PTE</v></cell><cell r="N272"><v>6</v></cell></row><row r="272"><cell r="S272"><v>1384</v></cell></row><row r="273"><cell r="A273" t="str"><v>EQUFLU</v></cell><cell r="B273" t="str"><v>Equisetum fluviatile</v></cell><cell r="C273"><v>12</v></cell><cell r="D273"><v>2</v></cell><cell r="E273" t="str"><v>L.      </v></cell><cell r="F273" t="str"><v>Equisetum limosum</v></cell></row><row r="273"><cell r="M273" t="str"><v>PTE</v></cell><cell r="N273"><v>6</v></cell></row><row r="273"><cell r="P273" t="str"><v>IBMR</v></cell></row><row r="273"><cell r="S273"><v>1385</v></cell></row><row r="274"><cell r="A274" t="str"><v>EQULIT</v></cell><cell r="B274" t="str"><v>Equisetum x litorale</v></cell></row><row r="274"><cell r="E274" t="str"><v>Kuhlew ex Rupr.    </v></cell></row><row r="274"><cell r="M274" t="str"><v>PTE</v></cell><cell r="N274"><v>6</v></cell></row><row r="274"><cell r="S274"><v>19647</v></cell></row><row r="275"><cell r="A275" t="str"><v>EQUMAX</v></cell><cell r="B275" t="str"><v>Equisetum maximum</v></cell></row><row r="275"><cell r="E275" t="str"><v>Lam.      </v></cell></row><row r="275"><cell r="M275" t="str"><v>PTE</v></cell><cell r="N275"><v>6</v></cell></row><row r="275"><cell r="S275"><v>1386</v></cell></row><row r="276"><cell r="A276" t="str"><v>EQUPAL</v></cell><cell r="B276" t="str"><v>Equisetum palustre</v></cell><cell r="C276"><v>10</v></cell><cell r="D276"><v>1</v></cell><cell r="E276" t="str"><v>L.      </v></cell></row><row r="276"><cell r="M276" t="str"><v>PTE</v></cell><cell r="N276"><v>6</v></cell></row><row r="276"><cell r="P276" t="str"><v>IBMR</v></cell></row><row r="276"><cell r="S276"><v>1387</v></cell></row><row r="277"><cell r="A277" t="str"><v>EQUPRA</v></cell><cell r="B277" t="str"><v>Equisetum pratense</v></cell></row><row r="277"><cell r="E277" t="str"><v>      </v></cell></row><row r="277"><cell r="M277" t="str"><v>PTE</v></cell><cell r="N277"><v>6</v></cell></row><row r="277"><cell r="S277"><v>19645</v></cell></row><row r="278"><cell r="A278" t="str"><v>EQUSPX</v></cell><cell r="B278" t="str"><v>Equisetum sp.</v></cell></row><row r="278"><cell r="E278" t="str"><v>      </v></cell></row><row r="278"><cell r="M278" t="str"><v>PTE</v></cell><cell r="N278"><v>6</v></cell></row><row r="278"><cell r="S278"><v>1383</v></cell></row><row r="279"><cell r="A279" t="str"><v>ERIAQU</v></cell><cell r="B279" t="str"><v>Eriocaulon aquaticum</v></cell></row><row r="279"><cell r="E279" t="str"><v>      </v></cell></row><row r="279"><cell r="M279" t="str"><v>PHx</v></cell><cell r="N279"><v>1</v></cell></row><row r="279"><cell r="Q279" t="str"><v>MONOCOT</v></cell></row><row r="279"><cell r="S279"><v>19648</v></cell></row><row r="280"><cell r="A280" t="str"><v>ERICIN</v></cell><cell r="B280" t="str"><v>Eriocaulon cinereum</v></cell></row><row r="280"><cell r="E280" t="str"><v>      </v></cell></row><row r="280"><cell r="M280" t="str"><v>PHx</v></cell><cell r="N280"><v>1</v></cell></row><row r="280"><cell r="Q280" t="str"><v>MONOCOT</v></cell></row><row r="280"><cell r="S280"><v>19649</v></cell></row><row r="281"><cell r="A281" t="str"><v>EROANG</v></cell><cell r="B281" t="str"><v>Eriophorum angustifolium</v></cell></row><row r="281"><cell r="E281" t="str"><v>Honckeny      </v></cell></row><row r="281"><cell r="M281" t="str"><v>PHg</v></cell><cell r="N281"><v>9</v></cell><cell r="O281" t="str"><v>HYG/HEL</v></cell></row><row r="281"><cell r="Q281" t="str"><v>MONOCOT</v></cell></row><row r="281"><cell r="S281"><v>151</v></cell></row><row r="282"><cell r="A282" t="str"><v>ERYCOR</v></cell><cell r="B282" t="str"><v>Eryngium corniculatum</v></cell></row><row r="282"><cell r="E282" t="str"><v>      </v></cell></row><row r="282"><cell r="M282" t="str"><v>PHe</v></cell><cell r="N282"><v>8</v></cell><cell r="O282" t="str"><v>HYD/HEL</v></cell></row><row r="282"><cell r="Q282" t="str"><v>DICOT</v></cell></row><row r="282"><cell r="S282"><v>19651</v></cell></row><row r="283"><cell r="A283" t="str"><v>ERYGAL</v></cell><cell r="B283" t="str"><v>Eryngium galioides</v></cell></row><row r="283"><cell r="E283" t="str"><v>      </v></cell></row><row r="283"><cell r="M283" t="str"><v>PHe</v></cell><cell r="N283"><v>8</v></cell><cell r="O283" t="str"><v>HYD/HEL</v></cell></row><row r="283"><cell r="Q283" t="str"><v>DICOT</v></cell></row><row r="283"><cell r="S283"><v>19652</v></cell></row><row r="284"><cell r="A284" t="str"><v>ERYVIV</v></cell><cell r="B284" t="str"><v>Eryngium viviparum</v></cell></row><row r="284"><cell r="E284" t="str"><v>      </v></cell></row><row r="284"><cell r="M284" t="str"><v>PHe</v></cell><cell r="N284"><v>8</v></cell><cell r="O284" t="str"><v>HYD/HEL</v></cell></row><row r="284"><cell r="Q284" t="str"><v>DICOT</v></cell></row><row r="284"><cell r="S284"><v>19653</v></cell></row><row r="285"><cell r="A285" t="str"><v>EUCVER</v></cell><cell r="B285" t="str"><v>Eucladium verticillatum</v></cell></row><row r="285"><cell r="E285" t="str"><v>(Brid.) B., S. & G.</v></cell><cell r="F285" t="str"><v>Eucladium styriacum Glow.</v></cell></row><row r="285"><cell r="M285" t="str"><v>BRm</v></cell><cell r="N285"><v>5</v></cell></row><row r="285"><cell r="S285"><v>19654</v></cell></row><row r="286"><cell r="A286" t="str"><v>EUPCAN</v></cell><cell r="B286" t="str"><v>Eupatorium cannabinum</v></cell></row><row r="286"><cell r="E286" t="str"><v>L.      </v></cell></row><row r="286"><cell r="M286" t="str"><v>PHe</v></cell><cell r="N286"><v>8</v></cell><cell r="O286" t="str"><v>HEL</v></cell></row><row r="286"><cell r="Q286" t="str"><v>DICOT</v></cell></row><row r="286"><cell r="S286"><v>1741</v></cell></row><row r="287"><cell r="A287" t="str"><v>EURHIA</v></cell><cell r="B287" t="str"><v>Eurhynchium hians</v></cell></row><row r="287"><cell r="E287" t="str"><v>(Hedw.) Sande Lac.    </v></cell><cell r="F287" t="str"><v>Eurhynchium swartzii (Turn.) Curn.      </v></cell><cell r="G287" t="str"><v>Eurhynchium praelongum auct. Plur.      </v></cell><cell r="H287" t="str"><v>Oxyrrhynchium hians (Hedw.) Loeske</v></cell><cell r="I287" t="str"><v>Oxyrrhynchium swartzii (Turn.) Warnst.</v></cell></row><row r="287"><cell r="M287" t="str"><v>BRm</v></cell><cell r="N287"><v>5</v></cell></row><row r="287"><cell r="S287"><v>19655</v></cell></row><row r="288"><cell r="A288" t="str"><v>EURPRA</v></cell><cell r="B288" t="str"><v>Eurhynchium praelongum var. praelongum</v></cell></row><row r="288"><cell r="E288" t="str"><v>(Hedw.) B., S. & G.</v></cell><cell r="F288" t="str"><v>Oxyrrhynchium praelongum (Hedw.) Warnst. var. praelongum (Hedw.) Warnst.</v></cell><cell r="G288" t="str"><v>Oxyrrhynchium serratum (Card. & H. Wint.) F. Koppe</v></cell><cell r="H288" t="str"><v>Stokesiella praelonga (Hedw.) Robins. var. praelonga (Hedw.) Robins.</v></cell></row><row r="288"><cell r="M288" t="str"><v>BRm</v></cell><cell r="N288"><v>5</v></cell></row><row r="288"><cell r="S288"><v>19656</v></cell></row><row r="289"><cell r="A289" t="str"><v>EURSPX</v></cell><cell r="B289" t="str"><v>Eurhynchium sp.</v></cell></row><row r="289"><cell r="E289" t="str"><v>B., S. & G.</v></cell></row><row r="289"><cell r="M289" t="str"><v>BRm</v></cell><cell r="N289"><v>5</v></cell></row><row r="289"><cell r="S289"><v>1262</v></cell></row><row r="290"><cell r="A290" t="str"><v>EURSTO</v></cell><cell r="B290" t="str"><v>Eurhynchium stokesii</v></cell></row><row r="290"><cell r="E290" t="str"><v>(Turn.) Dix.   </v></cell><cell r="F290" t="str"><v>Bryhnia stokesii (Turn.) Robins.</v></cell><cell r="G290" t="str"><v>Eurhynchium stockesii (Turn.) B., S. & G.</v></cell><cell r="H290" t="str"><v>Oxyrrhynchium praelongum (Hedw.) Warnst. var. stokesii (Turn.) Podp.</v></cell><cell r="I290" t="str"><v>Stokesiella praelonga (Hedw.) Robins. var. stokesii (Turn.) Crum.</v></cell></row><row r="290"><cell r="M290" t="str"><v>BRm</v></cell><cell r="N290"><v>5</v></cell></row><row r="290"><cell r="S290"><v>1264</v></cell></row><row r="291"><cell r="A291" t="str"><v>FALDUM</v></cell><cell r="B291" t="str"><v>Fallopia dumetorum</v></cell></row><row r="291"><cell r="E291" t="str"><v>      </v></cell></row><row r="291"><cell r="M291" t="str"><v>PHg</v></cell><cell r="N291"><v>9</v></cell><cell r="O291" t="str"><v>HYG</v></cell></row><row r="291"><cell r="Q291" t="str"><v>DICOT</v></cell></row><row r="291"><cell r="S291"><v>19657</v></cell></row><row r="292"><cell r="A292" t="str"><v>FILULM</v></cell><cell r="B292" t="str"><v>Filipendula ulmaria</v></cell></row><row r="292"><cell r="E292" t="str"><v>(L.) Maxim.     </v></cell></row><row r="292"><cell r="M292" t="str"><v>PHg</v></cell><cell r="N292"><v>9</v></cell><cell r="O292" t="str"><v>HYG</v></cell></row><row r="292"><cell r="Q292" t="str"><v>DICOT</v></cell></row><row r="292"><cell r="S292"><v>1919</v></cell></row><row r="293"><cell r="A293" t="str"><v>FIMANN</v></cell><cell r="B293" t="str"><v>Fimbristylis annua</v></cell></row><row r="293"><cell r="E293" t="str"><v>      </v></cell></row><row r="293"><cell r="M293" t="str"><v>PHe</v></cell><cell r="N293"><v>8</v></cell><cell r="O293" t="str"><v>HEL</v></cell></row><row r="293"><cell r="Q293" t="str"><v>MONOCOT</v></cell></row><row r="293"><cell r="S293"><v>1966</v></cell></row><row r="294"><cell r="A294" t="str"><v>FIMBIS</v></cell><cell r="B294" t="str"><v>Fimbristylis bisumbellata</v></cell></row><row r="294"><cell r="E294" t="str"><v>      </v></cell></row><row r="294"><cell r="M294" t="str"><v>PHe</v></cell><cell r="N294"><v>8</v></cell><cell r="O294" t="str"><v>HEL</v></cell></row><row r="294"><cell r="Q294" t="str"><v>MONOCOT</v></cell></row><row r="294"><cell r="S294"><v>19661</v></cell></row><row r="295"><cell r="A295" t="str"><v>FIMSQU</v></cell><cell r="B295" t="str"><v>Fimbristylis squarrosa</v></cell></row><row r="295"><cell r="E295" t="str"><v>      </v></cell></row><row r="295"><cell r="M295" t="str"><v>PHe</v></cell><cell r="N295"><v>8</v></cell><cell r="O295" t="str"><v>HEL</v></cell></row><row r="295"><cell r="Q295" t="str"><v>MONOCOT</v></cell></row><row r="295"><cell r="S295"><v>19662</v></cell></row><row r="296"><cell r="A296" t="str"><v>FISBRY</v></cell><cell r="B296" t="str"><v>Fissidens bryoides</v></cell></row><row r="296"><cell r="E296" t="str"><v>Hedw.      </v></cell><cell r="F296" t="str"><v>Fissidens alpestris (Lindb.) Amann</v></cell><cell r="G296" t="str"><v>Fissidens inconstans Schimp.</v></cell><cell r="H296" t="str"><v>Fissidens arcticus Bryhn</v></cell></row><row r="296"><cell r="M296" t="str"><v>BRm</v></cell><cell r="N296"><v>5</v></cell></row><row r="296"><cell r="S296"><v>1293</v></cell></row><row r="297"><cell r="A297" t="str"><v>FISCRA</v></cell><cell r="B297" t="str"><v>Fissidens crassipes</v></cell><cell r="C297"><v>12</v></cell><cell r="D297"><v>2</v></cell><cell r="E297" t="str"><v>Wils. ex B., S. & G.</v></cell><cell r="F297" t="str"><v>Fissidens mildeanus Schimp.</v></cell><cell r="G297" t="str"><v>Fissidens warnstorfii Fleisch.</v></cell></row><row r="297"><cell r="M297" t="str"><v>BRm</v></cell><cell r="N297"><v>5</v></cell></row><row r="297"><cell r="P297" t="str"><v>IBMR</v></cell></row><row r="297"><cell r="S297"><v>1294</v></cell></row><row r="298"><cell r="A298" t="str"><v>FISCUR</v></cell><cell r="B298" t="str"><v>Fissidens curnovii</v></cell></row><row r="298"><cell r="E298" t="str"><v>Mitt.      </v></cell><cell r="F298" t="str"><v>Fissidens bryoides Hedw. var. caespitans Schimp.</v></cell></row><row r="298"><cell r="M298" t="str"><v>BRm</v></cell><cell r="N298"><v>5</v></cell></row><row r="298"><cell r="S298"><v>1296</v></cell></row><row r="299"><cell r="A299" t="str"><v>FISGRA</v></cell><cell r="B299" t="str"><v>Fissidens gracilifolius</v></cell><cell r="C299"><v>14</v></cell><cell r="D299"><v>3</v></cell><cell r="E299" t="str"><v>Brugg. Nann. & Nyh.   </v></cell><cell r="F299" t="str"><v>Fissidens pusillus (Wils.) Milde var. tenuifolius (Boul.) Popd.</v></cell><cell r="G299" t="str"><v>Fissidens minutulus auct.  </v></cell><cell r="H299" t="str"><v>Fissidens minitulus Auct.</v></cell></row><row r="299"><cell r="M299" t="str"><v>BRm</v></cell><cell r="N299"><v>5</v></cell></row><row r="299"><cell r="P299" t="str"><v>IBMR</v></cell></row><row r="299"><cell r="S299"><v>19665</v></cell></row><row r="300"><cell r="A300" t="str"><v>FISGRN</v></cell><cell r="B300" t="str"><v>Fissidens grandifrons</v></cell><cell r="C300"><v>15</v></cell><cell r="D300"><v>3</v></cell><cell r="E300" t="str"><v>Brid.</v></cell><cell r="F300" t="str"><v>Pachyfissidens grandifrons (Brid.) Limpr.</v></cell></row><row r="300"><cell r="M300" t="str"><v>BRm</v></cell><cell r="N300"><v>5</v></cell></row><row r="300"><cell r="P300" t="str"><v>IBMR</v></cell></row><row r="300"><cell r="S300"><v>19666</v></cell></row><row r="301"><cell r="A301" t="str"><v>FISMON</v></cell><cell r="B301" t="str"><v>Fissidens monguillonii</v></cell></row><row r="301"><cell r="E301" t="str"><v>Thér.      </v></cell></row><row r="301"><cell r="M301" t="str"><v>BRm</v></cell><cell r="N301"><v>5</v></cell></row><row r="301"><cell r="S301"><v>1297</v></cell></row><row r="302"><cell r="A302" t="str"><v>FISOSM</v></cell><cell r="B302" t="str"><v>Fissidens osmundoides</v></cell></row><row r="302"><cell r="E302" t="str"><v>Hedw.      </v></cell></row><row r="302"><cell r="M302" t="str"><v>BRm</v></cell><cell r="N302"><v>5</v></cell></row><row r="302"><cell r="S302"><v>19668</v></cell></row><row r="303"><cell r="A303" t="str"><v>FISPOL</v></cell><cell r="B303" t="str"><v>Fissidens polyphyllus</v></cell><cell r="C303"><v>20</v></cell><cell r="D303"><v>3</v></cell><cell r="E303" t="str"><v>Wils. ex B., S. & G.</v></cell></row><row r="303"><cell r="M303" t="str"><v>BRm</v></cell><cell r="N303"><v>5</v></cell></row><row r="303"><cell r="P303" t="str"><v>IBMR</v></cell></row><row r="303"><cell r="S303"><v>1213</v></cell></row><row r="304"><cell r="A304" t="str"><v>FISPUS</v></cell><cell r="B304" t="str"><v>Fissidens pusillus</v></cell><cell r="C304"><v>14</v></cell><cell r="D304"><v>2</v></cell><cell r="E304" t="str"><v>(Wils.) Milde</v></cell><cell r="F304" t="str"><v>Fissidens pusillus (Wils.) Milde var. pusillus (Wils.) Milde</v></cell></row><row r="304"><cell r="M304" t="str"><v>BRm</v></cell><cell r="N304"><v>5</v></cell></row><row r="304"><cell r="P304" t="str"><v>IBMR</v></cell></row><row r="304"><cell r="S304"><v>1298</v></cell></row><row r="305"><cell r="A305" t="str"><v>FISRIV</v></cell><cell r="B305" t="str"><v>Fissidens rivularis</v></cell></row><row r="305"><cell r="E305" t="str"><v>(Spruce) B., S. & G.    </v></cell></row><row r="305"><cell r="M305" t="str"><v>BRm</v></cell><cell r="N305"><v>5</v></cell></row><row r="305"><cell r="S305"><v>19669</v></cell></row><row r="306"><cell r="A306" t="str"><v>FISRUF</v></cell><cell r="B306" t="str"><v>Fissidens rufulus</v></cell><cell r="C306"><v>14</v></cell><cell r="D306"><v>3</v></cell><cell r="E306" t="str"><v>B., S. & G.</v></cell></row><row r="306"><cell r="M306" t="str"><v>BRm</v></cell><cell r="N306"><v>5</v></cell></row><row r="306"><cell r="P306" t="str"><v>IBMR</v></cell></row><row r="306"><cell r="S306"><v>1967</v></cell></row><row r="307"><cell r="A307" t="str"><v>FISSPX</v></cell><cell r="B307" t="str"><v>Fissidens sp.</v></cell></row><row r="307"><cell r="E307" t="str"><v>Hedw.      </v></cell></row><row r="307"><cell r="M307" t="str"><v>BRm</v></cell><cell r="N307"><v>5</v></cell></row><row r="307"><cell r="S307"><v>1292</v></cell></row><row r="308"><cell r="A308" t="str"><v>FISTAX</v></cell><cell r="B308" t="str"><v>Fissidens taxifolius</v></cell></row><row r="308"><cell r="E308" t="str"><v>Hedw.</v></cell></row><row r="308"><cell r="M308" t="str"><v>BRm</v></cell><cell r="N308"><v>5</v></cell></row><row r="308"><cell r="S308"><v>13</v></cell></row><row r="309"><cell r="A309" t="str"><v>FISVIR</v></cell><cell r="B309" t="str"><v>Fissidens viridulus</v></cell><cell r="C309"><v>11</v></cell><cell r="D309"><v>2</v></cell><cell r="E309" t="str"><v>(Sw.) Wahlenb.     </v></cell><cell r="F309" t="str"><v>Fissidens impar Mitt.</v></cell><cell r="G309" t="str"><v>Fissidens bambergeri auct.</v></cell><cell r="H309" t="str"><v>Fissidens haraldii (Lindb.) Limpr.</v></cell><cell r="I309" t="str"><v>Fissidens intralimbatus Ruthe</v></cell></row><row r="309"><cell r="M309" t="str"><v>BRm</v></cell><cell r="N309"><v>5</v></cell></row><row r="309"><cell r="P309" t="str"><v>IBMR</v></cell></row><row r="309"><cell r="S309"><v>131</v></cell></row><row r="310"><cell r="A310" t="str"><v>FONANT</v></cell><cell r="B310" t="str"><v>Fontinalis antipyretica</v></cell><cell r="C310"><v>10</v></cell><cell r="D310"><v>1</v></cell><cell r="E310" t="str"><v>Hedw.      </v></cell><cell r="F310" t="str"><v>Fontinalis androgyna Ruthe</v></cell><cell r="G310" t="str"><v>Fontinalis arvernica (Ren.) Card.</v></cell><cell r="H310" t="str"><v>Fontinalis cavifolia Warnst. & Fleisch.</v></cell><cell r="I310" t="str"><v>Fontinalis dolosa Card.</v></cell><cell r="J310" t="str"><v>Fontinalis gothica Card. & H. Arn.</v></cell><cell r="K310" t="str"><v>Fontinalis gracilis Lindb.</v></cell></row><row r="310"><cell r="M310" t="str"><v>BRm</v></cell><cell r="N310"><v>5</v></cell></row><row r="310"><cell r="P310" t="str"><v>IBMR</v></cell></row><row r="310"><cell r="S310"><v>131</v></cell></row><row r="311"><cell r="A311" t="str"><v>FONDUR</v></cell><cell r="B311" t="str"><v>Fontinalis hypnoides var. duriaei</v></cell><cell r="C311"><v>14</v></cell><cell r="D311"><v>3</v></cell><cell r="E311" t="str"><v>Schimp.      </v></cell><cell r="F311" t="str"><v>Fontinalis duriaei Schimp.</v></cell></row><row r="311"><cell r="M311" t="str"><v>BRm</v></cell><cell r="N311"><v>5</v></cell></row><row r="311"><cell r="P311" t="str"><v>IBMR</v></cell></row><row r="311"><cell r="S311"><v>1215</v></cell></row><row r="312"><cell r="A312" t="str"><v>FONHYP</v></cell><cell r="B312" t="str"><v>Fontinalis hypnoides</v></cell></row><row r="312"><cell r="E312" t="str"><v>Hartm      </v></cell><cell r="F312" t="str"><v>Fontinalis camusii Card.</v></cell><cell r="G312" t="str"><v>Fontinalis seriata Lindb.</v></cell><cell r="H312" t="str"><v>Fontinalis hypnoides Hartm. var. hypnoides Hartm.</v></cell></row><row r="312"><cell r="M312" t="str"><v>BRm</v></cell><cell r="N312"><v>5</v></cell></row><row r="312"><cell r="S312"><v>1238</v></cell></row><row r="313"><cell r="A313" t="str"><v>FONSPX</v></cell><cell r="B313" t="str"><v>Fontinalis sp.</v></cell></row><row r="313"><cell r="E313" t="str"><v>Hedw.      </v></cell></row><row r="313"><cell r="M313" t="str"><v>BRm</v></cell><cell r="N313"><v>5</v></cell></row><row r="313"><cell r="S313"><v>139</v></cell></row><row r="314"><cell r="A314" t="str"><v>FONSQU</v></cell><cell r="B314" t="str"><v>Fontinalis squamosa</v></cell><cell r="C314"><v>16</v></cell><cell r="D314"><v>3</v></cell><cell r="E314" t="str"><v>Hedw.      </v></cell><cell r="F314" t="str"><v>Fontinalis dixonii Card.</v></cell></row><row r="314"><cell r="M314" t="str"><v>BRm</v></cell><cell r="N314"><v>5</v></cell></row><row r="314"><cell r="P314" t="str"><v>IBMR</v></cell></row><row r="314"><cell r="S314"><v>1312</v></cell></row><row r="315"><cell r="A315" t="str"><v>FUIPUB</v></cell><cell r="B315" t="str"><v>Fuirena pubescens</v></cell></row><row r="315"><cell r="E315" t="str"><v>(Poiret) Kunth     </v></cell></row><row r="315"><cell r="M315" t="str"><v>PHe</v></cell><cell r="N315"><v>8</v></cell><cell r="O315" t="str"><v>HEL</v></cell></row><row r="315"><cell r="Q315" t="str"><v>MONOCOT</v></cell></row><row r="315"><cell r="S315"><v>19763</v></cell></row><row r="316"><cell r="A316" t="str"><v>GALAPA</v></cell><cell r="B316" t="str"><v>Galium aparine</v></cell></row><row r="316"><cell r="E316" t="str"><v>L.      </v></cell></row><row r="316"><cell r="M316" t="str"><v>PHx</v></cell><cell r="N316"><v>1</v></cell><cell r="O316" t="str"><v>NA</v></cell></row><row r="316"><cell r="Q316" t="str"><v>DICOT</v></cell></row><row r="316"><cell r="S316"><v>1927</v></cell></row><row r="317"><cell r="A317" t="str"><v>GALMOL</v></cell><cell r="B317" t="str"><v>Galium mollugo</v></cell></row><row r="317"><cell r="E317" t="str"><v>L.      </v></cell></row><row r="317"><cell r="M317" t="str"><v>PHx</v></cell><cell r="N317"><v>1</v></cell><cell r="O317" t="str"><v>NA</v></cell></row><row r="317"><cell r="Q317" t="str"><v>DICOT</v></cell></row><row r="317"><cell r="S317"><v>1929</v></cell></row><row r="318"><cell r="A318" t="str"><v>GALNEG</v></cell><cell r="B318" t="str"><v>Galium neglectum</v></cell></row><row r="318"><cell r="E318" t="str"><v>      </v></cell></row><row r="318"><cell r="M318" t="str"><v>PHg</v></cell><cell r="N318"><v>9</v></cell><cell r="O318" t="str"><v>HYG</v></cell></row><row r="318"><cell r="Q318" t="str"><v>DICOT</v></cell></row><row r="318"><cell r="S318"><v>19764</v></cell></row><row r="319"><cell r="A319" t="str"><v>GALPAL</v></cell><cell r="B319" t="str"><v>Galium palustre</v></cell></row><row r="319"><cell r="E319" t="str"><v>L.      </v></cell></row><row r="319"><cell r="M319" t="str"><v>PHg</v></cell><cell r="N319"><v>9</v></cell><cell r="O319" t="str"><v>HYG/HEL</v></cell></row><row r="319"><cell r="Q319" t="str"><v>DICOT</v></cell></row><row r="319"><cell r="S319"><v>193</v></cell></row><row r="320"><cell r="A320" t="str"><v>GALSPX</v></cell><cell r="B320" t="str"><v>Galium sp.</v></cell></row><row r="320"><cell r="E320" t="str"><v>      </v></cell></row><row r="320"><cell r="M320" t="str"><v>PHg</v></cell><cell r="N320"><v>9</v></cell><cell r="O320" t="str"><v>HYG/HEL</v></cell></row><row r="320"><cell r="Q320" t="str"><v>DICOT</v></cell></row><row r="320"><cell r="S320"><v>1926</v></cell></row><row r="321"><cell r="A321" t="str"><v>GALTRI</v></cell><cell r="B321" t="str"><v>Galium trifidum</v></cell></row><row r="321"><cell r="E321" t="str"><v>      </v></cell></row><row r="321"><cell r="M321" t="str"><v>PHg</v></cell><cell r="N321"><v>9</v></cell><cell r="O321" t="str"><v>HYG</v></cell></row><row r="321"><cell r="Q321" t="str"><v>DICOT</v></cell></row><row r="321"><cell r="S321"><v>19765</v></cell></row><row r="322"><cell r="A322" t="str"><v>GALULI</v></cell><cell r="B322" t="str"><v>Galium uliginosum</v></cell></row><row r="322"><cell r="E322" t="str"><v>L.      </v></cell></row><row r="322"><cell r="M322" t="str"><v>PHg</v></cell><cell r="N322"><v>9</v></cell><cell r="O322" t="str"><v>HYG</v></cell></row><row r="322"><cell r="Q322" t="str"><v>DICOT</v></cell></row><row r="322"><cell r="S322"><v>19766</v></cell></row><row r="323"><cell r="A323" t="str"><v>GLEHED</v></cell><cell r="B323" t="str"><v>Glechoma hederacea</v></cell></row><row r="323"><cell r="E323" t="str"><v>L.      </v></cell></row><row r="323"><cell r="M323" t="str"><v>PHg</v></cell><cell r="N323"><v>9</v></cell><cell r="O323" t="str"><v>HYG</v></cell></row><row r="323"><cell r="Q323" t="str"><v>DICOT</v></cell></row><row r="323"><cell r="S323"><v>19767</v></cell></row><row r="324"><cell r="A324" t="str"><v>GLYAQU</v></cell><cell r="B324" t="str"><v>Glyceria aquatica</v></cell></row><row r="324"><cell r="E324" t="str"><v>(L.) Wahlb.     </v></cell><cell r="F324" t="str"><v>Glyceria maxima Hartm. Holmb.</v></cell></row><row r="324"><cell r="M324" t="str"><v>PHe</v></cell><cell r="N324"><v>8</v></cell><cell r="O324" t="str"><v>HEL</v></cell></row><row r="324"><cell r="Q324" t="str"><v>MONOCOT</v></cell></row><row r="324"><cell r="S324"><v>19768</v></cell></row><row r="325"><cell r="A325" t="str"><v>GLYDEC</v></cell><cell r="B325" t="str"><v>Glyceria declinata</v></cell></row><row r="325"><cell r="E325" t="str"><v>Bréb.      </v></cell></row><row r="325"><cell r="M325" t="str"><v>PHe</v></cell><cell r="N325"><v>8</v></cell><cell r="O325" t="str"><v>HYD/HEL</v></cell></row><row r="325"><cell r="Q325" t="str"><v>MONOCOT</v></cell></row><row r="325"><cell r="S325"><v>1563</v></cell></row><row r="326"><cell r="A326" t="str"><v>GLYFLU</v></cell><cell r="B326" t="str"><v>Glyceria fluitans</v></cell><cell r="C326"><v>14</v></cell><cell r="D326"><v>2</v></cell><cell r="E326" t="str"><v>(L.) R. Br.    </v></cell></row><row r="326"><cell r="M326" t="str"><v>PHe</v></cell><cell r="N326"><v>8</v></cell><cell r="O326" t="str"><v>HYD/HEL</v></cell><cell r="P326" t="str"><v>IBMR</v></cell><cell r="Q326" t="str"><v>MONOCOT</v></cell></row><row r="326"><cell r="S326"><v>1564</v></cell></row><row r="327"><cell r="A327" t="str"><v>GLYNOT</v></cell><cell r="B327" t="str"><v>Glyceria notata</v></cell></row><row r="327"><cell r="E327" t="str"><v>Chevall      </v></cell></row><row r="327"><cell r="M327" t="str"><v>PHe</v></cell><cell r="N327"><v>8</v></cell><cell r="O327" t="str"><v>HYD/HEL</v></cell></row><row r="327"><cell r="Q327" t="str"><v>MONOCOT</v></cell></row><row r="327"><cell r="S327"><v>1566</v></cell></row><row r="328"><cell r="A328" t="str"><v>GLYPED</v></cell><cell r="B328" t="str"><v>Glyceria x pedicellata</v></cell></row><row r="328"><cell r="E328" t="str"><v>      </v></cell></row><row r="328"><cell r="M328" t="str"><v>PHx</v></cell><cell r="N328"><v>1</v></cell></row><row r="328"><cell r="Q328" t="str"><v>MONOCOT</v></cell></row><row r="328"><cell r="S328"><v>19769</v></cell></row><row r="329"><cell r="A329" t="str"><v>GLYSPX</v></cell><cell r="B329" t="str"><v>Glyceria sp.</v></cell></row><row r="329"><cell r="E329" t="str"><v>      </v></cell></row><row r="329"><cell r="M329" t="str"><v>PHe</v></cell><cell r="N329"><v>8</v></cell><cell r="O329" t="str"><v>HYD/HEL</v></cell></row><row r="329"><cell r="Q329" t="str"><v>MONOCOT</v></cell></row><row r="329"><cell r="S329"><v>1562</v></cell></row><row r="330"><cell r="A330" t="str"><v>GNAULI</v></cell><cell r="B330" t="str"><v>Gnaphalium uliginosum</v></cell></row><row r="330"><cell r="E330" t="str"><v>L.      </v></cell></row><row r="330"><cell r="M330" t="str"><v>PHg</v></cell><cell r="N330"><v>9</v></cell><cell r="O330" t="str"><v>HYG</v></cell></row><row r="330"><cell r="Q330" t="str"><v>DICOT</v></cell></row><row r="330"><cell r="S330"><v>1977</v></cell></row><row r="331"><cell r="A331" t="str"><v>GRALIN</v></cell><cell r="B331" t="str"><v>Gratiola linifolia</v></cell></row><row r="331"><cell r="E331" t="str"><v>      </v></cell></row><row r="331"><cell r="M331" t="str"><v>PHe</v></cell><cell r="N331"><v>8</v></cell><cell r="O331" t="str"><v>HEL</v></cell></row><row r="331"><cell r="Q331" t="str"><v>DICOT</v></cell></row><row r="331"><cell r="S331"><v>19772</v></cell></row><row r="332"><cell r="A332" t="str"><v>GRANEG</v></cell><cell r="B332" t="str"><v>Gratiola neglecta</v></cell></row><row r="332"><cell r="E332" t="str"><v>      </v></cell></row><row r="332"><cell r="M332" t="str"><v>PHe</v></cell><cell r="N332"><v>8</v></cell><cell r="O332" t="str"><v>HEL</v></cell></row><row r="332"><cell r="Q332" t="str"><v>DICOT</v></cell></row><row r="332"><cell r="S332"><v>19773</v></cell></row><row r="333"><cell r="A333" t="str"><v>GRAOFF</v></cell><cell r="B333" t="str"><v>Gratiola officinalis</v></cell></row><row r="333"><cell r="E333" t="str"><v>      </v></cell></row><row r="333"><cell r="M333" t="str"><v>PHg</v></cell><cell r="N333"><v>9</v></cell><cell r="O333" t="str"><v>HYG</v></cell></row><row r="333"><cell r="Q333" t="str"><v>DICOT</v></cell></row><row r="333"><cell r="S333"><v>19774</v></cell></row><row r="334"><cell r="A334" t="str"><v>GRODEN</v></cell><cell r="B334" t="str"><v>Groenlandia densa</v></cell><cell r="C334"><v>11</v></cell><cell r="D334"><v>2</v></cell><cell r="E334" t="str"><v>(L.) Fourr.     </v></cell><cell r="F334" t="str"><v>Potamogeton densus</v></cell></row><row r="334"><cell r="M334" t="str"><v>PHy</v></cell><cell r="N334"><v>7</v></cell><cell r="O334" t="str"><v>HYD</v></cell><cell r="P334" t="str"><v>IBMR</v></cell><cell r="Q334" t="str"><v>MONOCOT</v></cell></row><row r="334"><cell r="S334"><v>1638</v></cell></row><row r="335"><cell r="A335" t="str"><v>HEEREN</v></cell><cell r="B335" t="str"><v>Heteranthera reniformis</v></cell></row><row r="335"><cell r="E335" t="str"><v>      </v></cell></row><row r="335"><cell r="M335" t="str"><v>PHy</v></cell><cell r="N335"><v>7</v></cell><cell r="O335" t="str"><v>HYD</v></cell></row><row r="335"><cell r="Q335" t="str"><v>DICOT</v></cell></row><row r="335"><cell r="S335"><v>19778</v></cell></row><row r="336"><cell r="A336" t="str"><v>HEMALT</v></cell><cell r="B336" t="str"><v>Hemarthria altissima</v></cell></row><row r="336"><cell r="E336" t="str"><v>      </v></cell></row><row r="336"><cell r="M336" t="str"><v>PHx</v></cell><cell r="N336"><v>1</v></cell></row><row r="336"><cell r="Q336" t="str"><v>MONOCOT</v></cell></row><row r="336"><cell r="S336"><v>19775</v></cell></row><row r="337"><cell r="A337" t="str"><v>HERSPX</v></cell><cell r="B337" t="str"><v>Heribaudiella sp.</v></cell></row><row r="337"><cell r="E337" t="str"><v>Gomont      </v></cell></row><row r="337"><cell r="M337" t="str"><v>ALG</v></cell><cell r="N337"><v>2</v></cell></row><row r="337"><cell r="S337"><v>6196</v></cell></row><row r="338"><cell r="A338" t="str"><v>HETHET</v></cell><cell r="B338" t="str"><v>Heterocladium heteropterum</v></cell></row><row r="338"><cell r="E338" t="str"><v>B., S. & G.</v></cell><cell r="F338" t="str"><v>Heterocladium wulfsbergii I. Hag.</v></cell></row><row r="338"><cell r="M338" t="str"><v>BRm</v></cell><cell r="N338"><v>5</v></cell></row><row r="338"><cell r="S338"><v>19779</v></cell></row><row r="339"><cell r="A339" t="str"><v>HILSPX</v></cell><cell r="B339" t="str"><v>Hildenbrandia sp.</v></cell><cell r="C339"><v>15</v></cell><cell r="D339"><v>2</v></cell><cell r="E339" t="str"><v>(Liebm.) J.Agardh</v></cell><cell r="F339" t="str"><v>Erythroclathrus rivularis Liebm.</v></cell></row><row r="339"><cell r="M339" t="str"><v>ALG</v></cell><cell r="N339"><v>2</v></cell></row><row r="339"><cell r="P339" t="str"><v>IBMR</v></cell></row><row r="339"><cell r="S339"><v>1157</v></cell></row><row r="340"><cell r="A340" t="str"><v>HIPSPX</v></cell><cell r="B340" t="str"><v>Hippuris sp.</v></cell></row><row r="340"><cell r="E340" t="str"><v>      </v></cell></row><row r="340"><cell r="M340" t="str"><v>PHy</v></cell><cell r="N340"><v>7</v></cell><cell r="O340" t="str"><v>HYD</v></cell></row><row r="340"><cell r="Q340" t="str"><v>DICOT</v></cell></row><row r="340"><cell r="S340"><v>1781</v></cell></row><row r="341"><cell r="A341" t="str"><v>HIPTET</v></cell><cell r="B341" t="str"><v>Hippuris tetraphylla</v></cell></row><row r="341"><cell r="E341" t="str"><v>      </v></cell></row><row r="341"><cell r="M341" t="str"><v>PHx</v></cell><cell r="N341"><v>1</v></cell></row><row r="341"><cell r="Q341" t="str"><v>DICOT</v></cell></row><row r="341"><cell r="S341"><v>19781</v></cell></row><row r="342"><cell r="A342" t="str"><v>HIPVUL</v></cell><cell r="B342" t="str"><v>Hippuris vulgaris</v></cell><cell r="C342"><v>12</v></cell><cell r="D342"><v>2</v></cell><cell r="E342" t="str"><v>L.      </v></cell></row><row r="342"><cell r="M342" t="str"><v>PHy</v></cell><cell r="N342"><v>7</v></cell><cell r="O342" t="str"><v>HYD</v></cell><cell r="P342" t="str"><v>IBMR</v></cell><cell r="Q342" t="str"><v>DICOT</v></cell></row><row r="342"><cell r="S342"><v>1782</v></cell></row><row r="343"><cell r="A343" t="str"><v>HOATRI</v></cell><cell r="B343" t="str"><v>Homalia trichomanoides</v></cell></row><row r="343"><cell r="E343" t="str"><v>(Hedw.) B., S. & G.</v></cell></row><row r="343"><cell r="M343" t="str"><v>BRm</v></cell><cell r="N343"><v>5</v></cell></row><row r="343"><cell r="S343"><v>1347</v></cell></row><row r="344"><cell r="A344" t="str"><v>HOLLAN</v></cell><cell r="B344" t="str"><v>Holcus lanatus</v></cell></row><row r="344"><cell r="E344" t="str"><v>L.      </v></cell></row><row r="344"><cell r="M344" t="str"><v>PHg</v></cell><cell r="N344"><v>9</v></cell><cell r="O344" t="str"><v>HYG</v></cell></row><row r="344"><cell r="Q344" t="str"><v>MONOCOT</v></cell></row><row r="344"><cell r="S344"><v>19782</v></cell></row><row r="345"><cell r="A345" t="str"><v>HOMSPX</v></cell><cell r="B345" t="str"><v>Homeothrix sp.</v></cell></row><row r="345"><cell r="E345" t="str"><v>(Thuret) Kirchner (janthina)</v></cell></row><row r="345"><cell r="M345" t="str"><v>ALG</v></cell><cell r="N345"><v>2</v></cell></row><row r="345"><cell r="S345"><v>6395</v></cell></row><row r="346"><cell r="A346" t="str"><v>HOOLUC</v></cell><cell r="B346" t="str"><v>Hookeria lucens</v></cell></row><row r="346"><cell r="E346" t="str"><v>(Hedw.) Sm.     </v></cell></row><row r="346"><cell r="M346" t="str"><v>BRm</v></cell><cell r="N346"><v>5</v></cell></row><row r="346"><cell r="S346"><v>133</v></cell></row><row r="347"><cell r="A347" t="str"><v>HOTPAL</v></cell><cell r="B347" t="str"><v>Hottonia palustris</v></cell><cell r="C347"><v>12</v></cell><cell r="D347"><v>2</v></cell><cell r="E347" t="str"><v>L.      </v></cell></row><row r="347"><cell r="M347" t="str"><v>PHy</v></cell><cell r="N347"><v>7</v></cell><cell r="O347" t="str"><v>HYD</v></cell><cell r="P347" t="str"><v>IBMR</v></cell><cell r="Q347" t="str"><v>DICOT</v></cell></row><row r="347"><cell r="S347"><v>1882</v></cell></row><row r="348"><cell r="A348" t="str"><v>HUMLUP</v></cell><cell r="B348" t="str"><v>Humulus lupulus</v></cell></row><row r="348"><cell r="E348" t="str"><v>L.      </v></cell></row><row r="348"><cell r="M348" t="str"><v>PHg</v></cell><cell r="N348"><v>9</v></cell><cell r="O348" t="str"><v>HYG</v></cell></row><row r="348"><cell r="Q348" t="str"><v>DICOT</v></cell></row><row r="348"><cell r="S348"><v>19783</v></cell></row><row r="349"><cell r="A349" t="str"><v>HYDMOR</v></cell><cell r="B349" t="str"><v>Hydrocharis morsus-ranae</v></cell><cell r="C349"><v>11</v></cell><cell r="D349"><v>3</v></cell><cell r="E349" t="str"><v>L.      </v></cell></row><row r="349"><cell r="M349" t="str"><v>PHy</v></cell><cell r="N349"><v>7</v></cell><cell r="O349" t="str"><v>HYD</v></cell><cell r="P349" t="str"><v>IBMR</v></cell><cell r="Q349" t="str"><v>MONOCOT</v></cell></row><row r="349"><cell r="S349"><v>159</v></cell></row><row r="350"><cell r="A350" t="str"><v>HYGDUR</v></cell><cell r="B350" t="str"><v>Hygrohypnum duriusculum</v></cell><cell r="C350"><v>19</v></cell><cell r="D350"><v>3</v></cell><cell r="E350" t="str"><v>(De Not.) Jamieson    </v></cell><cell r="F350" t="str"><v>Hygrohypnum dilatatum (Wils. ex Schimp.) Loeske</v></cell></row><row r="350"><cell r="M350" t="str"><v>BRm</v></cell><cell r="N350"><v>5</v></cell></row><row r="350"><cell r="P350" t="str"><v>IBMR</v></cell></row><row r="350"><cell r="S350"><v>9821</v></cell></row><row r="351"><cell r="A351" t="str"><v>HYGLUR</v></cell><cell r="B351" t="str"><v>Hygrohypnum luridum</v></cell><cell r="C351"><v>19</v></cell><cell r="D351"><v>3</v></cell><cell r="E351" t="str"><v>(Hedw.) Jenn.     </v></cell><cell r="F351" t="str"><v>Hygrohypnum palustre Loeske</v></cell></row><row r="351"><cell r="M351" t="str"><v>BRm</v></cell><cell r="N351"><v>5</v></cell></row><row r="351"><cell r="P351" t="str"><v>IBMR</v></cell></row><row r="351"><cell r="S351"><v>124</v></cell></row><row r="352"><cell r="A352" t="str"><v>HYGMOL</v></cell><cell r="B352" t="str"><v>Hygrohypnum molle</v></cell></row><row r="352"><cell r="E352" t="str"><v>(Hedw.) Loeske</v></cell></row><row r="352"><cell r="M352" t="str"><v>BRm</v></cell><cell r="N352"><v>5</v></cell></row><row r="352"><cell r="S352"><v>19788</v></cell></row><row r="353"><cell r="A353" t="str"><v>HYGOCH</v></cell><cell r="B353" t="str"><v>Hygrohypnum ochraceum</v></cell><cell r="C353"><v>19</v></cell><cell r="D353"><v>3</v></cell><cell r="E353" t="str"><v>(Turn. ex Wils.) Loeske</v></cell></row><row r="353"><cell r="M353" t="str"><v>BRm</v></cell><cell r="N353"><v>5</v></cell></row><row r="353"><cell r="P353" t="str"><v>IBMR</v></cell></row><row r="353"><cell r="S353"><v>1241</v></cell></row><row r="354"><cell r="A354" t="str"><v>HYGPOL</v></cell><cell r="B354" t="str"><v>Hygrohypnum polare</v></cell></row><row r="354"><cell r="E354" t="str"><v>(Lindb.) Loeske     </v></cell></row><row r="354"><cell r="M354" t="str"><v>BRm</v></cell><cell r="N354"><v>5</v></cell></row><row r="354"><cell r="S354"><v>19789</v></cell></row><row r="355"><cell r="A355" t="str"><v>HYGSMI</v></cell><cell r="B355" t="str"><v>Hygrohypnum smithii</v></cell></row><row r="355"><cell r="E355" t="str"><v>(Sw.) Broth.     </v></cell></row><row r="355"><cell r="M355" t="str"><v>BRm</v></cell><cell r="N355"><v>5</v></cell></row><row r="355"><cell r="S355"><v>1979</v></cell></row><row r="356"><cell r="A356" t="str"><v>HYGSPX</v></cell><cell r="B356" t="str"><v>Hygrohypnum sp.</v></cell></row><row r="356"><cell r="E356" t="str"><v>Lindb.      </v></cell></row><row r="356"><cell r="M356" t="str"><v>BRm</v></cell><cell r="N356"><v>5</v></cell></row><row r="356"><cell r="S356"><v>1239</v></cell></row><row r="357"><cell r="A357" t="str"><v>HYISPX</v></cell><cell r="B357" t="str"><v>Hydrodictyon sp.</v></cell><cell r="C357"><v>6</v></cell><cell r="D357"><v>2</v></cell><cell r="E357" t="str"><v>Roth      </v></cell></row><row r="357"><cell r="M357" t="str"><v>ALG</v></cell><cell r="N357"><v>2</v></cell></row><row r="357"><cell r="P357" t="str"><v>IBMR</v></cell></row><row r="357"><cell r="S357"><v>5686</v></cell></row><row r="358"><cell r="A358" t="str"><v>HYLVER</v></cell><cell r="B358" t="str"><v>Hydrilla verticillata</v></cell></row><row r="358"><cell r="E358" t="str"><v>      </v></cell></row><row r="358"><cell r="M358" t="str"><v>PHy</v></cell><cell r="N358"><v>7</v></cell><cell r="O358" t="str"><v>HYD</v></cell></row><row r="358"><cell r="Q358" t="str"><v>DICOT</v></cell></row><row r="358"><cell r="S358"><v>19784</v></cell></row><row r="359"><cell r="A359" t="str"><v>HYOARM</v></cell><cell r="B359" t="str"><v>Hyocomium armoricum</v></cell><cell r="C359"><v>20</v></cell><cell r="D359"><v>3</v></cell><cell r="E359" t="str"><v>(Brid.) Wijk & Marg.   </v></cell><cell r="F359" t="str"><v>Hyocomium flagellare B., S. & G.</v></cell></row><row r="359"><cell r="M359" t="str"><v>BRm</v></cell><cell r="N359"><v>5</v></cell></row><row r="359"><cell r="P359" t="str"><v>IBMR</v></cell></row><row r="359"><cell r="S359"><v>19792</v></cell></row><row r="360"><cell r="A360" t="str"><v>HYPMAC</v></cell><cell r="B360" t="str"><v>Hypericum maculatum</v></cell></row><row r="360"><cell r="E360" t="str"><v>Crantz.      </v></cell></row><row r="360"><cell r="M360" t="str"><v>PHg</v></cell><cell r="N360"><v>9</v></cell><cell r="O360" t="str"><v>HYG</v></cell></row><row r="360"><cell r="Q360" t="str"><v>DICOT</v></cell></row><row r="360"><cell r="S360"><v>19793</v></cell></row><row r="361"><cell r="A361" t="str"><v>HYRRAN</v></cell><cell r="B361" t="str"><v>Hydrocotyle ranunculoides</v></cell></row><row r="361"><cell r="E361" t="str"><v>      </v></cell></row><row r="361"><cell r="M361" t="str"><v>PHy</v></cell><cell r="N361"><v>7</v></cell><cell r="O361" t="str"><v>HYD</v></cell></row><row r="361"><cell r="Q361" t="str"><v>MONOCOT</v></cell></row><row r="361"><cell r="S361"><v>19785</v></cell></row><row r="362"><cell r="A362" t="str"><v>HYRSPX</v></cell><cell r="B362" t="str"><v>Hydrocotyle sp.</v></cell></row><row r="362"><cell r="E362" t="str"><v>      </v></cell></row><row r="362"><cell r="M362" t="str"><v>PHe</v></cell><cell r="N362"><v>8</v></cell><cell r="O362" t="str"><v>HYD/HEL</v></cell></row><row r="362"><cell r="Q362" t="str"><v>MONOCOT</v></cell></row><row r="362"><cell r="S362"><v>1982</v></cell></row><row r="363"><cell r="A363" t="str"><v>HYRVUL</v></cell><cell r="B363" t="str"><v>Hydrocotyle vulgaris</v></cell><cell r="C363"><v>14</v></cell><cell r="D363"><v>2</v></cell><cell r="E363" t="str"><v>L. fo aq.    </v></cell></row><row r="363"><cell r="M363" t="str"><v>PHe</v></cell><cell r="N363"><v>8</v></cell><cell r="O363" t="str"><v>HYD/HEL</v></cell><cell r="P363" t="str"><v>IBMR</v></cell><cell r="Q363" t="str"><v>DICOT</v></cell></row><row r="363"><cell r="S363"><v>1983</v></cell></row><row r="364"><cell r="A364" t="str"><v>HYUSPX</v></cell><cell r="B364" t="str"><v>Hydrurus sp.</v></cell><cell r="C364"><v>16</v></cell><cell r="D364"><v>2</v></cell><cell r="E364" t="str"><v>C. Agardh     </v></cell></row><row r="364"><cell r="M364" t="str"><v>ALG</v></cell><cell r="N364"><v>2</v></cell></row><row r="364"><cell r="P364" t="str"><v>IBMR</v></cell></row><row r="364"><cell r="S364"><v>6183</v></cell></row><row r="365"><cell r="A365" t="str"><v>IMPGLA</v></cell><cell r="B365" t="str"><v>Impatiens glandulifera</v></cell></row><row r="365"><cell r="E365" t="str"><v>Royle      </v></cell></row><row r="365"><cell r="M365" t="str"><v>PHg</v></cell><cell r="N365"><v>9</v></cell><cell r="O365" t="str"><v>HYG</v></cell></row><row r="365"><cell r="Q365" t="str"><v>DICOT</v></cell></row><row r="365"><cell r="S365"><v>1686</v></cell></row><row r="366"><cell r="A366" t="str"><v>IMPNOL</v></cell><cell r="B366" t="str"><v>Impatiens noli-tangere</v></cell></row><row r="366"><cell r="E366" t="str"><v>L.      </v></cell></row><row r="366"><cell r="M366" t="str"><v>PHg</v></cell><cell r="N366"><v>9</v></cell><cell r="O366" t="str"><v>HYG</v></cell></row><row r="366"><cell r="Q366" t="str"><v>DICOT</v></cell></row><row r="366"><cell r="S366"><v>19794</v></cell></row><row r="367"><cell r="A367" t="str"><v>IRIPSE</v></cell><cell r="B367" t="str"><v>Iris pseudacorus</v></cell><cell r="C367"><v>10</v></cell><cell r="D367"><v>1</v></cell><cell r="E367" t="str"><v>L.      </v></cell></row><row r="367"><cell r="M367" t="str"><v>PHe</v></cell><cell r="N367"><v>8</v></cell><cell r="O367" t="str"><v>HEL</v></cell><cell r="P367" t="str"><v>IBMR</v></cell><cell r="Q367" t="str"><v>MONOCOT</v></cell></row><row r="367"><cell r="S367"><v>161</v></cell></row><row r="368"><cell r="A368" t="str"><v>IRISIN</v></cell><cell r="B368" t="str"><v>Iris sintenisii subsp. brandzae</v></cell></row><row r="368"><cell r="E368" t="str"><v>      </v></cell></row><row r="368"><cell r="M368" t="str"><v>PHx</v></cell><cell r="N368"><v>1</v></cell></row><row r="368"><cell r="Q368" t="str"><v>MONOCOT</v></cell></row><row r="368"><cell r="S368"><v>19795</v></cell></row><row r="369"><cell r="A369" t="str"><v>IRISPU</v></cell><cell r="B369" t="str"><v>Iris spuria</v></cell></row><row r="369"><cell r="E369" t="str"><v>      </v></cell></row><row r="369"><cell r="M369" t="str"><v>PHx</v></cell><cell r="N369"><v>1</v></cell></row><row r="369"><cell r="Q369" t="str"><v>MONOCOT</v></cell></row><row r="369"><cell r="S369"><v>19796</v></cell></row><row r="370"><cell r="A370" t="str"><v>IRISPX</v></cell><cell r="B370" t="str"><v>Iris sp.</v></cell></row><row r="370"><cell r="E370" t="str"><v>      </v></cell></row><row r="370"><cell r="M370" t="str"><v>PHe</v></cell><cell r="N370"><v>8</v></cell><cell r="O370" t="str"><v>HEL</v></cell></row><row r="370"><cell r="Q370" t="str"><v>MONOCOT</v></cell></row><row r="370"><cell r="S370"><v>16</v></cell></row><row r="371"><cell r="A371" t="str"><v>IRIVER</v></cell><cell r="B371" t="str"><v>Iris versicolor</v></cell></row><row r="371"><cell r="E371" t="str"><v>      </v></cell></row><row r="371"><cell r="M371" t="str"><v>PHx</v></cell><cell r="N371"><v>1</v></cell></row><row r="371"><cell r="Q371" t="str"><v>MONOCOT</v></cell></row><row r="371"><cell r="S371"><v>19797</v></cell></row><row r="372"><cell r="A372" t="str"><v>ISLCER</v></cell><cell r="B372" t="str"><v>Isolepis cernua</v></cell></row><row r="372"><cell r="E372" t="str"><v>      </v></cell><cell r="F372" t="str"><v>Scirpus cernuus</v></cell></row><row r="372"><cell r="M372" t="str"><v>PHx</v></cell><cell r="N372"><v>1</v></cell></row><row r="372"><cell r="Q372" t="str"><v>MONOCOT</v></cell></row><row r="372"><cell r="S372"><v>19812</v></cell></row><row r="373"><cell r="A373" t="str"><v>ISLSET</v></cell><cell r="B373" t="str"><v>Isolepis setacea</v></cell></row><row r="373"><cell r="E373" t="str"><v>      </v></cell><cell r="F373" t="str"><v>Scirpus setaccus</v></cell></row><row r="373"><cell r="M373" t="str"><v>PHx</v></cell><cell r="N373"><v>1</v></cell></row><row r="373"><cell r="Q373" t="str"><v>MONOCOT</v></cell></row><row r="373"><cell r="S373"><v>19813</v></cell></row><row r="374"><cell r="A374" t="str"><v>ISNPAL</v></cell><cell r="B374" t="str"><v>Isnardia palustris</v></cell></row><row r="374"><cell r="E374" t="str"><v>L.      </v></cell><cell r="F374" t="str"><v>Ludwigia palustris (L.) Elliot </v></cell></row><row r="374"><cell r="M374" t="str"><v>PHe</v></cell><cell r="N374"><v>8</v></cell><cell r="O374" t="str"><v>HYD/HEL</v></cell></row><row r="374"><cell r="Q374" t="str"><v>DICOT</v></cell></row><row r="374"><cell r="S374"><v>19798</v></cell></row><row r="375"><cell r="A375" t="str"><v>ISOAST</v></cell><cell r="B375" t="str"><v>Isoetes velata subsp. asturicense</v></cell></row><row r="375"><cell r="E375" t="str"><v>      </v></cell></row><row r="375"><cell r="M375" t="str"><v>PTE</v></cell><cell r="N375"><v>6</v></cell></row><row r="375"><cell r="S375"><v>1988</v></cell></row><row r="376"><cell r="A376" t="str"><v>ISOAZO</v></cell><cell r="B376" t="str"><v>Isoetes azorica</v></cell></row><row r="376"><cell r="E376" t="str"><v>      </v></cell></row><row r="376"><cell r="M376" t="str"><v>PTE</v></cell><cell r="N376"><v>6</v></cell></row><row r="376"><cell r="S376"><v>19799</v></cell></row><row r="377"><cell r="A377" t="str"><v>ISOBOR</v></cell><cell r="B377" t="str"><v>Isoetes boryana</v></cell></row><row r="377"><cell r="E377" t="str"><v>      </v></cell></row><row r="377"><cell r="M377" t="str"><v>PTE</v></cell><cell r="N377"><v>6</v></cell></row><row r="377"><cell r="S377"><v>198</v></cell></row><row r="378"><cell r="A378" t="str"><v>ISOBRO</v></cell><cell r="B378" t="str"><v>Isoetes brochonii</v></cell></row><row r="378"><cell r="E378" t="str"><v>      </v></cell></row><row r="378"><cell r="M378" t="str"><v>PTE</v></cell><cell r="N378"><v>6</v></cell></row><row r="378"><cell r="S378"><v>1981</v></cell></row><row r="379"><cell r="A379" t="str"><v>ISOECH</v></cell><cell r="B379" t="str"><v>Isoetes echinospora</v></cell></row><row r="379"><cell r="E379" t="str"><v>Durieu      </v></cell></row><row r="379"><cell r="M379" t="str"><v>PTE</v></cell><cell r="N379"><v>6</v></cell></row><row r="379"><cell r="S379"><v>1982</v></cell></row><row r="380"><cell r="A380" t="str"><v>ISOLAC</v></cell><cell r="B380" t="str"><v>Isoetes lacustris</v></cell></row><row r="380"><cell r="E380" t="str"><v>L.      </v></cell></row><row r="380"><cell r="M380" t="str"><v>PTE</v></cell><cell r="N380"><v>6</v></cell></row><row r="380"><cell r="S380"><v>1983</v></cell></row><row r="381"><cell r="A381" t="str"><v>ISOLON</v></cell><cell r="B381" t="str"><v>Isoetes longissima</v></cell></row><row r="381"><cell r="E381" t="str"><v>      </v></cell></row><row r="381"><cell r="M381" t="str"><v>PTE</v></cell><cell r="N381"><v>6</v></cell></row><row r="381"><cell r="S381"><v>1984</v></cell></row><row r="382"><cell r="A382" t="str"><v>ISOMAL</v></cell><cell r="B382" t="str"><v>Isoetes malinverniana</v></cell></row><row r="382"><cell r="E382" t="str"><v>      </v></cell></row><row r="382"><cell r="M382" t="str"><v>PTE</v></cell><cell r="N382"><v>6</v></cell></row><row r="382"><cell r="S382"><v>1985</v></cell></row><row r="383"><cell r="A383" t="str"><v>ISOSPX</v></cell><cell r="B383" t="str"><v>Isoetes sp.</v></cell></row><row r="383"><cell r="E383" t="str"><v>      </v></cell></row><row r="383"><cell r="M383" t="str"><v>PTE</v></cell><cell r="N383"><v>6</v></cell></row><row r="383"><cell r="S383"><v>1986</v></cell></row><row r="384"><cell r="A384" t="str"><v>ISOTEG</v></cell><cell r="B384" t="str"><v>Isoetes velata subsp. tegulensis</v></cell></row><row r="384"><cell r="E384" t="str"><v>      </v></cell></row><row r="384"><cell r="M384" t="str"><v>PTE</v></cell><cell r="N384"><v>6</v></cell></row><row r="384"><cell r="S384"><v>1989</v></cell></row><row r="385"><cell r="A385" t="str"><v>ISOTEN</v></cell><cell r="B385" t="str"><v>Isoetes velata subsp. tenuissima</v></cell></row><row r="385"><cell r="E385" t="str"><v>      </v></cell></row><row r="385"><cell r="M385" t="str"><v>PTE</v></cell><cell r="N385"><v>6</v></cell></row><row r="385"><cell r="S385"><v>1981</v></cell></row><row r="386"><cell r="A386" t="str"><v>ISOVEL</v></cell><cell r="B386" t="str"><v>Isoetes velata</v></cell></row><row r="386"><cell r="E386" t="str"><v>      </v></cell></row><row r="386"><cell r="M386" t="str"><v>PTE</v></cell><cell r="N386"><v>6</v></cell></row><row r="386"><cell r="S386"><v>1987</v></cell></row><row r="387"><cell r="A387" t="str"><v>ISOVEV</v></cell><cell r="B387" t="str"><v>Isoetes velata subsp. velata</v></cell></row><row r="387"><cell r="E387" t="str"><v>      </v></cell></row><row r="387"><cell r="M387" t="str"><v>PTE</v></cell><cell r="N387"><v>6</v></cell></row><row r="387"><cell r="S387"><v>19811</v></cell></row><row r="388"><cell r="A388" t="str"><v>JUGATR</v></cell><cell r="B388" t="str"><v>Jungermannia atrovirens</v></cell><cell r="C388"><v>19</v></cell><cell r="D388"><v>3</v></cell><cell r="E388" t="str"><v>Dumort.      </v></cell><cell r="F388" t="str"><v>Jungermannia lanceolata L.</v></cell><cell r="G388" t="str"><v>Jungermannia tristis Nees</v></cell><cell r="H388" t="str"><v>Jungermannia riparia Taylor</v></cell><cell r="I388" t="str"><v>Solenostoma atrovirens (Dumort.) Müll. Frib. non Steph.</v></cell><cell r="J388" t="str"><v>Solenostoma triste (Nees) Müll. Frib.</v></cell><cell r="K388" t="str"><v>Aplozia atrovirens (Dumort.) Dumort.</v></cell><cell r="L388" t="str"><v>Aplozia tristis (Nees.) Dumort.</v></cell><cell r="M388" t="str"><v>BRh</v></cell><cell r="N388"><v>4</v></cell></row><row r="388"><cell r="P388" t="str"><v>IBMR</v></cell></row><row r="388"><cell r="S388"><v>1982</v></cell></row><row r="389"><cell r="A389" t="str"><v>JUGEXE</v></cell><cell r="B389" t="str"><v>Jungermannia exsertifolia subsp. cordifolia</v></cell></row><row r="389"><cell r="E389" t="str"><v>(Dumort.) Vana    </v></cell><cell r="F389" t="str"><v>Jungermannia cordifolia Hook. non Broth. nec Ehrh. ex F. Weber</v></cell><cell r="G389" t="str"><v>Jungermannia eucordifolia Schljakov</v></cell><cell r="H389" t="str"><v>Solenostoma cordifolium (Dumort.) Steph.</v></cell><cell r="I389" t="str"><v>Aplozia cordifolia Dumort.</v></cell><cell r="J389" t="str"><v>Haplozia cordifolia (Dumort.) Müll. Frib.</v></cell></row><row r="389"><cell r="M389" t="str"><v>BRh</v></cell><cell r="N389"><v>4</v></cell></row><row r="389"><cell r="S389"><v>19821</v></cell></row><row r="390"><cell r="A390" t="str"><v>JUGGRA</v></cell><cell r="B390" t="str"><v>Jungermannia gracillima</v></cell><cell r="C390"><v>20</v></cell><cell r="D390"><v>3</v></cell><cell r="E390" t="str"><v>Sm.      </v></cell><cell r="F390" t="str"><v>Jungermannia crenulata Sm. non Schmidel</v></cell><cell r="G390" t="str"><v>Solenostoma crenulatum Mitt.</v></cell><cell r="H390" t="str"><v>Solenostoma gracillima (Sm.) R.M. Schust.</v></cell><cell r="I390" t="str"><v>Aplozia crenulata (Mitt.) Lindb.</v></cell><cell r="J390" t="str"><v>Aplozia gracillima (Sm.) Dumort.</v></cell><cell r="K390" t="str"><v>Nardia gracillima (Sm.) Lindb.</v></cell></row><row r="390"><cell r="M390" t="str"><v>BRh</v></cell><cell r="N390"><v>4</v></cell></row><row r="390"><cell r="P390" t="str"><v>IBMR</v></cell></row><row r="390"><cell r="S390"><v>129</v></cell></row><row r="391"><cell r="A391" t="str"><v>JUGOBO</v></cell><cell r="B391" t="str"><v>Jungermannia obovata</v></cell></row><row r="391"><cell r="E391" t="str"><v>Nees      </v></cell><cell r="F391" t="str"><v>Jungermannia flaccida Huebener</v></cell><cell r="G391" t="str"><v>Solenostoma obovatum (Nees) C. Massal.</v></cell><cell r="H391" t="str"><v>Mesophylla obovata (Nees) Corbière</v></cell><cell r="I391" t="str"><v>Nardia obovata (Nees) Lindb.</v></cell><cell r="J391" t="str"><v>Plectocolea obovata (Nees) Lindb.</v></cell><cell r="K391" t="str"><v>Aplozia obovata (Nees.) Loeske</v></cell><cell r="L391" t="str"><v>Eucalyx obovata (Nees) Carrington</v></cell><cell r="M391" t="str"><v>BRh</v></cell><cell r="N391"><v>4</v></cell></row><row r="391"><cell r="S391"><v>19823</v></cell></row><row r="392"><cell r="A392" t="str"><v>JUGPUM</v></cell><cell r="B392" t="str"><v>Jungermannia pumila</v></cell></row><row r="392"><cell r="E392" t="str"><v>With.</v></cell><cell r="F392" t="str"><v>Jungermannia karl-muelleri Grolle</v></cell><cell r="G392" t="str"><v>Jungermannia rostellata Huebener</v></cell><cell r="H392" t="str"><v>Jungermannia zeyheri Huebener</v></cell><cell r="I392" t="str"><v>Solenostoma pumilum (With.) Müll. Frib.</v></cell><cell r="J392" t="str"><v>Solenostoma oblongifolium (Müll. Frib.) Müll. Frib.</v></cell><cell r="K392" t="str"><v>Aplozia pumila (With.) Dumort.</v></cell><cell r="L392" t="str"><v>Aplozia oblongifolia (Müll. Frib.) Jörg.</v></cell><cell r="M392" t="str"><v>BRh</v></cell><cell r="N392"><v>4</v></cell></row><row r="392"><cell r="S392"><v>19825</v></cell></row><row r="393"><cell r="A393" t="str"><v>JUGSPH</v></cell><cell r="B393" t="str"><v>Jungermannia sphaerocarpa</v></cell></row><row r="393"><cell r="E393" t="str"><v>Hook.     </v></cell><cell r="F393" t="str"><v>Jungermannia amplexicaulis Dumort.</v></cell><cell r="G393" t="str"><v>Jungermannia lurida Dumort.</v></cell><cell r="H393" t="str"><v>Jungermannia nana Nees</v></cell><cell r="I393" t="str"><v>Jungermannia tersa Nees</v></cell><cell r="J393" t="str"><v>Solenostoma amplexicaule (Dumort.) Steph.</v></cell><cell r="K393" t="str"><v>Solenostoma sphaerocarpum (Hook.) Steph.</v></cell><cell r="L393" t="str"><v>Aplozia amplexicaulis (Dumort.) Dumort.</v></cell><cell r="M393" t="str"><v>BRh</v></cell><cell r="N393"><v>4</v></cell></row><row r="393"><cell r="S393"><v>19827</v></cell></row><row r="394"><cell r="A394" t="str"><v>JUGSPX</v></cell><cell r="B394" t="str"><v>Jungermannia sp.</v></cell></row><row r="394"><cell r="E394" t="str"><v>L.</v></cell></row><row r="394"><cell r="M394" t="str"><v>BRh</v></cell><cell r="N394"><v>4</v></cell></row><row r="394"><cell r="S394"><v>19826</v></cell></row><row r="395"><cell r="A395" t="str"><v>JUNACU</v></cell><cell r="B395" t="str"><v>Juncus acutiflorus</v></cell></row><row r="395"><cell r="E395" t="str"><v>Ehrh. Ex Hoffm    </v></cell></row><row r="395"><cell r="M395" t="str"><v>PHg</v></cell><cell r="N395"><v>9</v></cell><cell r="O395" t="str"><v>HYG</v></cell></row><row r="395"><cell r="Q395" t="str"><v>MONOCOT</v></cell></row><row r="395"><cell r="S395"><v>167</v></cell></row><row r="396"><cell r="A396" t="str"><v>JUNALP</v></cell><cell r="B396" t="str"><v>Juncus alpinoarticulatus</v></cell></row><row r="396"><cell r="E396" t="str"><v>Chaix      </v></cell></row><row r="396"><cell r="M396" t="str"><v>PHg</v></cell><cell r="N396"><v>9</v></cell><cell r="O396" t="str"><v>HYG</v></cell></row><row r="396"><cell r="Q396" t="str"><v>MONOCOT</v></cell></row><row r="396"><cell r="S396"><v>19815</v></cell></row><row r="397"><cell r="A397" t="str"><v>JUNAMB</v></cell><cell r="B397" t="str"><v>Juncus ambiguus</v></cell></row><row r="397"><cell r="E397" t="str"><v>      </v></cell></row><row r="397"><cell r="M397" t="str"><v>PHg</v></cell><cell r="N397"><v>9</v></cell><cell r="O397" t="str"><v>HYG</v></cell></row><row r="397"><cell r="Q397" t="str"><v>MONOCOT</v></cell></row><row r="397"><cell r="S397"><v>19816</v></cell></row><row r="398"><cell r="A398" t="str"><v>JUNART</v></cell><cell r="B398" t="str"><v>Juncus articulatus</v></cell></row><row r="398"><cell r="E398" t="str"><v>L.      </v></cell></row><row r="398"><cell r="M398" t="str"><v>PHg</v></cell><cell r="N398"><v>9</v></cell><cell r="O398" t="str"><v>HYG</v></cell></row><row r="398"><cell r="Q398" t="str"><v>MONOCOT</v></cell></row><row r="398"><cell r="S398"><v>169</v></cell></row><row r="399"><cell r="A399" t="str"><v>JUNATR</v></cell><cell r="B399" t="str"><v>Juncus atratus</v></cell></row><row r="399"><cell r="E399" t="str"><v>Krock.      </v></cell></row><row r="399"><cell r="M399" t="str"><v>PHx</v></cell><cell r="N399"><v>1</v></cell></row><row r="399"><cell r="Q399" t="str"><v>MONOCOT</v></cell></row><row r="399"><cell r="S399"><v>19817</v></cell></row><row r="400"><cell r="A400" t="str"><v>JUNBUF</v></cell><cell r="B400" t="str"><v>Juncus bufonius</v></cell></row><row r="400"><cell r="E400" t="str"><v>L.      </v></cell></row><row r="400"><cell r="M400" t="str"><v>PHg</v></cell><cell r="N400"><v>9</v></cell><cell r="O400" t="str"><v>HYG</v></cell></row><row r="400"><cell r="Q400" t="str"><v>MONOCOT</v></cell></row><row r="400"><cell r="S400"><v>161</v></cell></row><row r="401"><cell r="A401" t="str"><v>JUNBUL</v></cell><cell r="B401" t="str"><v>Juncus bulbosus</v></cell><cell r="C401"><v>16</v></cell><cell r="D401"><v>3</v></cell><cell r="E401" t="str"><v>L.      </v></cell></row><row r="401"><cell r="M401" t="str"><v>PHy</v></cell><cell r="N401"><v>7</v></cell><cell r="O401" t="str"><v>HYD</v></cell><cell r="P401" t="str"><v>IBMR</v></cell><cell r="Q401" t="str"><v>MONOCOT</v></cell></row><row r="401"><cell r="S401"><v>1611</v></cell></row><row r="402"><cell r="A402" t="str"><v>JUNCON</v></cell><cell r="B402" t="str"><v>Juncus conglomeratus</v></cell></row><row r="402"><cell r="E402" t="str"><v>L.      </v></cell></row><row r="402"><cell r="M402" t="str"><v>PHe</v></cell><cell r="N402"><v>8</v></cell><cell r="O402" t="str"><v>HEL</v></cell></row><row r="402"><cell r="Q402" t="str"><v>MONOCOT</v></cell></row><row r="402"><cell r="S402"><v>1612</v></cell></row><row r="403"><cell r="A403" t="str"><v>JUNEFF</v></cell><cell r="B403" t="str"><v>Juncus effusus</v></cell></row><row r="403"><cell r="E403" t="str"><v>L.      </v></cell></row><row r="403"><cell r="M403" t="str"><v>PHe</v></cell><cell r="N403"><v>8</v></cell><cell r="O403" t="str"><v>HEL</v></cell></row><row r="403"><cell r="Q403" t="str"><v>MONOCOT</v></cell></row><row r="403"><cell r="S403"><v>1613</v></cell></row><row r="404"><cell r="A404" t="str"><v>JUNFIL</v></cell><cell r="B404" t="str"><v>Juncus filiformis</v></cell></row><row r="404"><cell r="E404" t="str"><v>L.      </v></cell></row><row r="404"><cell r="M404" t="str"><v>PHe</v></cell><cell r="N404"><v>8</v></cell><cell r="O404" t="str"><v>HEL</v></cell></row><row r="404"><cell r="Q404" t="str"><v>MONOCOT</v></cell></row><row r="404"><cell r="S404"><v>19819</v></cell></row><row r="405"><cell r="A405" t="str"><v>JUNHET</v></cell><cell r="B405" t="str"><v>Juncus heterophyllus</v></cell></row><row r="405"><cell r="E405" t="str"><v>Dufour      </v></cell></row><row r="405"><cell r="M405" t="str"><v>PHg</v></cell><cell r="N405"><v>9</v></cell><cell r="O405" t="str"><v>HYG/HEL</v></cell></row><row r="405"><cell r="Q405" t="str"><v>MONOCOT</v></cell></row><row r="405"><cell r="S405"><v>1615</v></cell></row><row r="406"><cell r="A406" t="str"><v>JUNINF</v></cell><cell r="B406" t="str"><v>Juncus inflexus</v></cell></row><row r="406"><cell r="E406" t="str"><v>L.      </v></cell></row><row r="406"><cell r="M406" t="str"><v>PHe</v></cell><cell r="N406"><v>8</v></cell><cell r="O406" t="str"><v>HEL</v></cell></row><row r="406"><cell r="Q406" t="str"><v>MONOCOT</v></cell></row><row r="406"><cell r="S406"><v>1616</v></cell></row><row r="407"><cell r="A407" t="str"><v>JUNMAR</v></cell><cell r="B407" t="str"><v>Juncus maritimus</v></cell></row><row r="407"><cell r="E407" t="str"><v>Lam.      </v></cell></row><row r="407"><cell r="M407" t="str"><v>PHe</v></cell><cell r="N407"><v>8</v></cell><cell r="O407" t="str"><v>HEL</v></cell></row><row r="407"><cell r="Q407" t="str"><v>MONOCOT</v></cell></row><row r="407"><cell r="S407"><v>1617</v></cell></row><row r="408"><cell r="A408" t="str"><v>JUNSPX</v></cell><cell r="B408" t="str"><v>Juncus sp.</v></cell></row><row r="408"><cell r="E408" t="str"><v>      </v></cell></row><row r="408"><cell r="M408" t="str"><v>PHe</v></cell><cell r="N408"><v>8</v></cell><cell r="O408" t="str"><v>HEL</v></cell></row><row r="408"><cell r="Q408" t="str"><v>MONOCOT</v></cell></row><row r="408"><cell r="S408"><v>166</v></cell></row><row r="409"><cell r="A409" t="str"><v>JUNSUB</v></cell><cell r="B409" t="str"><v>Juncus subnodulosus</v></cell><cell r="C409"><v>17</v></cell><cell r="D409"><v>3</v></cell><cell r="E409" t="str"><v>Schrank      </v></cell><cell r="F409" t="str"><v>Juncus obtusiflorus</v></cell></row><row r="409"><cell r="M409" t="str"><v>PHe</v></cell><cell r="N409"><v>8</v></cell><cell r="O409" t="str"><v>HYD/HEL</v></cell><cell r="P409" t="str"><v>IBMR</v></cell><cell r="Q409" t="str"><v>MONOCOT</v></cell></row><row r="409"><cell r="S409"><v>1622</v></cell></row><row r="410"><cell r="A410" t="str"><v>LAGMAJ</v></cell><cell r="B410" t="str"><v>Lagarosiphon major</v></cell></row><row r="410"><cell r="E410" t="str"><v>(Ridley) Moss     </v></cell></row><row r="410"><cell r="M410" t="str"><v>PHy</v></cell><cell r="N410"><v>7</v></cell><cell r="O410" t="str"><v>HYD</v></cell></row><row r="410"><cell r="Q410" t="str"><v>MONOCOT</v></cell></row><row r="410"><cell r="S410"><v>1592</v></cell></row><row r="411"><cell r="A411" t="str"><v>LAMALB</v></cell><cell r="B411" t="str"><v>Lamium album</v></cell></row><row r="411"><cell r="E411" t="str"><v>L.      </v></cell></row><row r="411"><cell r="M411" t="str"><v>PHg</v></cell><cell r="N411"><v>9</v></cell><cell r="O411" t="str"><v>HYG</v></cell></row><row r="411"><cell r="Q411" t="str"><v>DICOT</v></cell></row><row r="411"><cell r="S411"><v>19828</v></cell></row><row r="412"><cell r="A412" t="str"><v>LAMMAC</v></cell><cell r="B412" t="str"><v>Lamium maculatum</v></cell></row><row r="412"><cell r="E412" t="str"><v>L.      </v></cell></row><row r="412"><cell r="M412" t="str"><v>PHg</v></cell><cell r="N412"><v>9</v></cell><cell r="O412" t="str"><v>HYG</v></cell></row><row r="412"><cell r="Q412" t="str"><v>DICOT</v></cell></row><row r="412"><cell r="S412"><v>19829</v></cell></row><row r="413"><cell r="A413" t="str"><v>LEASPX</v></cell><cell r="B413" t="str"><v>Lemanea sp.</v></cell><cell r="C413"><v>15</v></cell><cell r="D413"><v>2</v></cell><cell r="E413" t="str"><v>(L.) C.Agardh</v></cell><cell r="F413" t="str"><v>Conferva fluviatilis  L.</v></cell></row><row r="413"><cell r="M413" t="str"><v>ALG</v></cell><cell r="N413"><v>2</v></cell></row><row r="413"><cell r="P413" t="str"><v>IBMR</v></cell></row><row r="413"><cell r="S413"><v>1159</v></cell></row><row r="414"><cell r="A414" t="str"><v>LEEAQU</v></cell><cell r="B414" t="str"><v>Leersia aquatica</v></cell></row><row r="414"><cell r="E414" t="str"><v>      </v></cell></row><row r="414"><cell r="M414" t="str"><v>PHy</v></cell><cell r="N414"><v>7</v></cell><cell r="O414" t="str"><v>HYD</v></cell></row><row r="414"><cell r="Q414" t="str"><v>MONOCOT</v></cell></row><row r="414"><cell r="S414"><v>1983</v></cell></row><row r="415"><cell r="A415" t="str"><v>LEEORY</v></cell><cell r="B415" t="str"><v>Leersia oryzoïdes</v></cell></row><row r="415"><cell r="E415" t="str"><v>(L.) Schwartz     </v></cell></row><row r="415"><cell r="M415" t="str"><v>PHg</v></cell><cell r="N415"><v>9</v></cell><cell r="O415" t="str"><v>HYG</v></cell></row><row r="415"><cell r="Q415" t="str"><v>MONOCOT</v></cell></row><row r="415"><cell r="S415"><v>1569</v></cell></row><row r="416"><cell r="A416" t="str"><v>LEJSPX</v></cell><cell r="B416" t="str"><v>Lejeunea sp.</v></cell></row><row r="416"><cell r="E416" t="str"><v>Lib.</v></cell><cell r="F416" t="str"><v>Microlejeunea sp. Steph.</v></cell></row><row r="416"><cell r="M416" t="str"><v>BRh</v></cell><cell r="N416"><v>4</v></cell></row><row r="416"><cell r="S416"><v>19831</v></cell></row><row r="417"><cell r="A417" t="str"><v>LEMAEQ</v></cell><cell r="B417" t="str"><v>Lemna aequinoctialis</v></cell></row><row r="417"><cell r="E417" t="str"><v>      </v></cell></row><row r="417"><cell r="M417" t="str"><v>PHy</v></cell><cell r="N417"><v>7</v></cell><cell r="O417" t="str"><v>HYD</v></cell></row><row r="417"><cell r="Q417" t="str"><v>MONOCOT</v></cell></row><row r="417"><cell r="S417"><v>19832</v></cell></row><row r="418"><cell r="A418" t="str"><v>LEMGIB</v></cell><cell r="B418" t="str"><v>Lemna gibba</v></cell><cell r="C418"><v>5</v></cell><cell r="D418"><v>3</v></cell><cell r="E418" t="str"><v>L.      </v></cell></row><row r="418"><cell r="M418" t="str"><v>PHy</v></cell><cell r="N418"><v>7</v></cell><cell r="O418" t="str"><v>HYD</v></cell><cell r="P418" t="str"><v>IBMR</v></cell><cell r="Q418" t="str"><v>MONOCOT</v></cell></row><row r="418"><cell r="S418"><v>1625</v></cell></row><row r="419"><cell r="A419" t="str"><v>LEMMIN</v></cell><cell r="B419" t="str"><v>Lemna minor</v></cell><cell r="C419"><v>10</v></cell><cell r="D419"><v>1</v></cell><cell r="E419" t="str"><v>L.      </v></cell></row><row r="419"><cell r="M419" t="str"><v>PHy</v></cell><cell r="N419"><v>7</v></cell><cell r="O419" t="str"><v>HYD</v></cell><cell r="P419" t="str"><v>IBMR</v></cell><cell r="Q419" t="str"><v>MONOCOT</v></cell></row><row r="419"><cell r="S419"><v>1626</v></cell></row><row r="420"><cell r="A420" t="str"><v>LEMMIU</v></cell><cell r="B420" t="str"><v>Lemna minuscula</v></cell></row><row r="420"><cell r="E420" t="str"><v>      </v></cell><cell r="F420" t="str"><v>Lemna minuta L.</v></cell></row><row r="420"><cell r="M420" t="str"><v>PHy</v></cell><cell r="N420"><v>7</v></cell><cell r="O420" t="str"><v>HYD</v></cell></row><row r="420"><cell r="Q420" t="str"><v>MONOCOT</v></cell></row><row r="420"><cell r="S420"><v>1627</v></cell></row><row r="421"><cell r="A421" t="str"><v>LEMSPX</v></cell><cell r="B421" t="str"><v>Lemna sp.</v></cell></row><row r="421"><cell r="E421" t="str"><v>      </v></cell></row><row r="421"><cell r="M421" t="str"><v>PHy</v></cell><cell r="N421"><v>7</v></cell><cell r="O421" t="str"><v>HYD</v></cell></row><row r="421"><cell r="Q421" t="str"><v>MONOCOT</v></cell></row><row r="421"><cell r="S421"><v>1624</v></cell></row><row r="422"><cell r="A422" t="str"><v>LEMTRI</v></cell><cell r="B422" t="str"><v>Lemna trisulca</v></cell><cell r="C422"><v>12</v></cell><cell r="D422"><v>2</v></cell><cell r="E422" t="str"><v>L.      </v></cell></row><row r="422"><cell r="M422" t="str"><v>PHy</v></cell><cell r="N422"><v>7</v></cell><cell r="O422" t="str"><v>HYD</v></cell><cell r="P422" t="str"><v>IBMR</v></cell><cell r="Q422" t="str"><v>MONOCOT</v></cell></row><row r="422"><cell r="S422"><v>1628</v></cell></row><row r="423"><cell r="A423" t="str"><v>LEMTUR</v></cell><cell r="B423" t="str"><v>Lemna turionifera</v></cell></row><row r="423"><cell r="E423" t="str"><v>Landolt      </v></cell></row><row r="423"><cell r="M423" t="str"><v>PHy</v></cell><cell r="N423"><v>7</v></cell><cell r="O423" t="str"><v>HYD</v></cell></row><row r="423"><cell r="Q423" t="str"><v>MONOCOT</v></cell></row><row r="423"><cell r="S423"><v>19833</v></cell></row><row r="424"><cell r="A424" t="str"><v>LEPSPX</v></cell><cell r="B424" t="str"><v>Leptomitus sp.</v></cell><cell r="C424"><v>0</v></cell><cell r="D424"><v>3</v></cell><cell r="E424" t="str"><v>      </v></cell></row><row r="424"><cell r="M424" t="str"><v>HET</v></cell><cell r="N424"><v>1</v></cell></row><row r="424"><cell r="P424" t="str"><v>IBMR</v></cell></row><row r="424"><cell r="S424"><v>197</v></cell></row><row r="425"><cell r="A425" t="str"><v>LIAATT</v></cell><cell r="B425" t="str"><v>Lilaeopsis attenuata</v></cell></row><row r="425"><cell r="E425" t="str"><v>      </v></cell></row><row r="425"><cell r="M425" t="str"><v>PHx</v></cell><cell r="N425"><v>1</v></cell></row><row r="425"><cell r="Q425" t="str"><v>DICOT</v></cell></row><row r="425"><cell r="S425"><v>19838</v></cell></row><row r="426"><cell r="A426" t="str"><v>LILSCI</v></cell><cell r="B426" t="str"><v>Lilaea scilloides</v></cell></row><row r="426"><cell r="E426" t="str"><v>      </v></cell></row><row r="426"><cell r="M426" t="str"><v>PHe</v></cell><cell r="N426"><v>8</v></cell><cell r="O426" t="str"><v>HYD/HEL</v></cell></row><row r="426"><cell r="Q426" t="str"><v>MONOCOT</v></cell></row><row r="426"><cell r="S426"><v>19837</v></cell></row><row r="427"><cell r="A427" t="str"><v>LIMAQU</v></cell><cell r="B427" t="str"><v>Limosella aquatica</v></cell></row><row r="427"><cell r="E427" t="str"><v>      </v></cell></row><row r="427"><cell r="M427" t="str"><v>PHg</v></cell><cell r="N427"><v>9</v></cell><cell r="O427" t="str"><v>HYG/HEL</v></cell></row><row r="427"><cell r="Q427" t="str"><v>DICOT</v></cell></row><row r="427"><cell r="S427"><v>19839</v></cell></row><row r="428"><cell r="A428" t="str"><v>LIMAUS</v></cell><cell r="B428" t="str"><v>Limosella australis</v></cell></row><row r="428"><cell r="E428" t="str"><v>      </v></cell></row><row r="428"><cell r="M428" t="str"><v>PHg</v></cell><cell r="N428"><v>9</v></cell><cell r="O428" t="str"><v>HYG/HEL</v></cell></row><row r="428"><cell r="Q428" t="str"><v>DICOT</v></cell></row><row r="428"><cell r="S428"><v>1984</v></cell></row><row r="429"><cell r="A429" t="str"><v>LINDUB</v></cell><cell r="B429" t="str"><v>Lindernia dubia</v></cell></row><row r="429"><cell r="E429" t="str"><v>      </v></cell></row><row r="429"><cell r="M429" t="str"><v>PHg</v></cell><cell r="N429"><v>9</v></cell><cell r="O429" t="str"><v>HYG/HEL</v></cell></row><row r="429"><cell r="Q429" t="str"><v>DICOT</v></cell></row><row r="429"><cell r="S429"><v>19841</v></cell></row><row r="430"><cell r="A430" t="str"><v>LINPRO</v></cell><cell r="B430" t="str"><v>Lindernia procumbens</v></cell></row><row r="430"><cell r="E430" t="str"><v>      </v></cell></row><row r="430"><cell r="M430" t="str"><v>PHg</v></cell><cell r="N430"><v>9</v></cell><cell r="O430" t="str"><v>HYG/HEL</v></cell></row><row r="430"><cell r="Q430" t="str"><v>DICOT</v></cell></row><row r="430"><cell r="S430"><v>19842</v></cell></row><row r="431"><cell r="A431" t="str"><v>LITUNI</v></cell><cell r="B431" t="str"><v>Littorella uniflora</v></cell><cell r="C431"><v>15</v></cell><cell r="D431"><v>3</v></cell><cell r="E431" t="str"><v>(L.) Ascherson     </v></cell></row><row r="431"><cell r="M431" t="str"><v>PHy</v></cell><cell r="N431"><v>7</v></cell><cell r="O431" t="str"><v>HYD</v></cell><cell r="P431" t="str"><v>IBMR</v></cell><cell r="Q431" t="str"><v>DICOT</v></cell></row><row r="431"><cell r="S431"><v>1861</v></cell></row><row r="432"><cell r="A432" t="str"><v>LOBDOR</v></cell><cell r="B432" t="str"><v>Lobelia dortmanna</v></cell></row><row r="432"><cell r="E432" t="str"><v>L.      </v></cell></row><row r="432"><cell r="M432" t="str"><v>PHy</v></cell><cell r="N432"><v>7</v></cell><cell r="O432" t="str"><v>HYD</v></cell></row><row r="432"><cell r="Q432" t="str"><v>DICOT</v></cell></row><row r="432"><cell r="S432"><v>1635</v></cell></row><row r="433"><cell r="A433" t="str"><v>LOTPED</v></cell><cell r="B433" t="str"><v>Lotus pedunculatus</v></cell></row><row r="433"><cell r="E433" t="str"><v>      </v></cell><cell r="F433" t="str"><v>Lotus uliginosus Schkuhr</v></cell></row><row r="433"><cell r="M433" t="str"><v>PHg</v></cell><cell r="N433"><v>9</v></cell><cell r="O433" t="str"><v>HYG</v></cell></row><row r="433"><cell r="Q433" t="str"><v>DICOT</v></cell></row><row r="433"><cell r="S433"><v>19844</v></cell></row><row r="434"><cell r="A434" t="str"><v>LUDGRA</v></cell><cell r="B434" t="str"><v>Ludwigia grandiflora</v></cell></row><row r="434"><cell r="E434" t="str"><v>      </v></cell></row><row r="434"><cell r="M434" t="str"><v>PHe</v></cell><cell r="N434"><v>8</v></cell><cell r="O434" t="str"><v>HYD/HEL</v></cell></row><row r="434"><cell r="Q434" t="str"><v>DICOT</v></cell></row><row r="434"><cell r="S434"><v>19845</v></cell></row><row r="435"><cell r="A435" t="str"><v>LUDPEP</v></cell><cell r="B435" t="str"><v>Ludwigia peploides</v></cell></row><row r="435"><cell r="E435" t="str"><v>(Kunth)      </v></cell></row><row r="435"><cell r="M435" t="str"><v>PHe</v></cell><cell r="N435"><v>8</v></cell><cell r="O435" t="str"><v>HYD/HEL</v></cell></row><row r="435"><cell r="Q435" t="str"><v>DICOT</v></cell></row><row r="435"><cell r="S435"><v>1856</v></cell></row><row r="436"><cell r="A436" t="str"><v>LUDSPX</v></cell><cell r="B436" t="str"><v>Ludwigia sp.</v></cell></row><row r="436"><cell r="E436" t="str"><v>      </v></cell></row><row r="436"><cell r="M436" t="str"><v>PHe</v></cell><cell r="N436"><v>8</v></cell><cell r="O436" t="str"><v>HYD/HEL</v></cell></row><row r="436"><cell r="Q436" t="str"><v>DICOT</v></cell></row><row r="436"><cell r="S436"><v>1854</v></cell></row><row r="437"><cell r="A437" t="str"><v>LUNCRU</v></cell><cell r="B437" t="str"><v>Lunularia cruciata</v></cell></row><row r="437"><cell r="E437" t="str"><v>(L.) Lindb.     </v></cell><cell r="F437" t="str"><v>Lunularia vulgaris Mich.</v></cell><cell r="G437" t="str"><v>Lunularia michelii Le Jolis</v></cell><cell r="H437" t="str"><v>Marchantia cruciata L.</v></cell><cell r="I437" t="str"><v>Marchantia dillenii Le Jolis</v></cell><cell r="J437" t="str"><v>Dichominum cruciatum (L.) Trevis.</v></cell><cell r="K437" t="str"><v>Preissia cucullata Mont. & Ness</v></cell><cell r="L437" t="str"><v>Staurophora pulchella Willd.</v></cell><cell r="M437" t="str"><v>BRh</v></cell><cell r="N437"><v>4</v></cell></row><row r="437"><cell r="S437"><v>1189</v></cell></row><row r="438"><cell r="A438" t="str"><v>LURNAT</v></cell><cell r="B438" t="str"><v>Luronium natans</v></cell><cell r="C438"><v>14</v></cell><cell r="D438"><v>3</v></cell><cell r="E438" t="str"><v>(L.) Rafin.     </v></cell><cell r="F438" t="str"><v>Alisma natans</v></cell></row><row r="438"><cell r="M438" t="str"><v>PHy</v></cell><cell r="N438"><v>7</v></cell><cell r="O438" t="str"><v>HYD</v></cell><cell r="P438" t="str"><v>IBMR</v></cell><cell r="Q438" t="str"><v>MONOCOT</v></cell></row><row r="438"><cell r="S438"><v>1451</v></cell></row><row r="439"><cell r="A439" t="str"><v>LYCEUR</v></cell><cell r="B439" t="str"><v>Lycopus europaeus</v></cell><cell r="C439"><v>11</v></cell><cell r="D439"><v>1</v></cell><cell r="E439" t="str"><v>L.      </v></cell></row><row r="439"><cell r="M439" t="str"><v>PHe</v></cell><cell r="N439"><v>8</v></cell><cell r="O439" t="str"><v>HEL</v></cell><cell r="P439" t="str"><v>IBMR</v></cell><cell r="Q439" t="str"><v>DICOT</v></cell></row><row r="439"><cell r="S439"><v>1789</v></cell></row><row r="440"><cell r="A440" t="str"><v>LYNSPX</v></cell><cell r="B440" t="str"><v>Lyngbya sp.</v></cell><cell r="C440"><v>10</v></cell><cell r="D440"><v>2</v></cell><cell r="E440" t="str"><v>C. Agardh     </v></cell></row><row r="440"><cell r="M440" t="str"><v>ALG</v></cell><cell r="N440"><v>2</v></cell></row><row r="440"><cell r="P440" t="str"><v>IBMR</v></cell></row><row r="440"><cell r="S440"><v>117</v></cell></row><row r="441"><cell r="A441" t="str"><v>LYOESC</v></cell><cell r="B441" t="str"><v>Lycopersicon esculentum</v></cell></row><row r="441"><cell r="E441" t="str"><v>      </v></cell></row><row r="441"><cell r="M441" t="str"><v>PHg</v></cell><cell r="N441"><v>9</v></cell><cell r="O441" t="str"><v>HYG</v></cell></row><row r="441"><cell r="Q441" t="str"><v>DICOT</v></cell></row><row r="441"><cell r="S441"><v>1962</v></cell></row><row r="442"><cell r="A442" t="str"><v>LYSNEM</v></cell><cell r="B442" t="str"><v>Lysimachia nemorum</v></cell></row><row r="442"><cell r="E442" t="str"><v>L.      </v></cell></row><row r="442"><cell r="M442" t="str"><v>PHe</v></cell><cell r="N442"><v>8</v></cell><cell r="O442" t="str"><v>HEL</v></cell></row><row r="442"><cell r="Q442" t="str"><v>DICOT</v></cell></row><row r="442"><cell r="S442"><v>1884</v></cell></row><row r="443"><cell r="A443" t="str"><v>LYSNUM</v></cell><cell r="B443" t="str"><v>Lysimachia nummularia</v></cell></row><row r="443"><cell r="E443" t="str"><v>L.      </v></cell></row><row r="443"><cell r="M443" t="str"><v>PHe</v></cell><cell r="N443"><v>8</v></cell><cell r="O443" t="str"><v>HEL</v></cell></row><row r="443"><cell r="Q443" t="str"><v>DICOT</v></cell></row><row r="443"><cell r="S443"><v>1885</v></cell></row><row r="444"><cell r="A444" t="str"><v>LYSSPX</v></cell><cell r="B444" t="str"><v>Lysimachia sp.</v></cell></row><row r="444"><cell r="E444" t="str"><v>      </v></cell></row><row r="444"><cell r="M444" t="str"><v>PHe</v></cell><cell r="N444"><v>8</v></cell><cell r="O444" t="str"><v>HEL</v></cell></row><row r="444"><cell r="Q444" t="str"><v>DICOT</v></cell></row><row r="444"><cell r="S444"><v>1883</v></cell></row><row r="445"><cell r="A445" t="str"><v>LYSTHY</v></cell><cell r="B445" t="str"><v>Lysimachia thyrsiflora</v></cell></row><row r="445"><cell r="E445" t="str"><v>L.      </v></cell></row><row r="445"><cell r="M445" t="str"><v>PHe</v></cell><cell r="N445"><v>8</v></cell><cell r="O445" t="str"><v>HEL</v></cell></row><row r="445"><cell r="Q445" t="str"><v>DICOT</v></cell></row><row r="445"><cell r="S445"><v>1886</v></cell></row><row r="446"><cell r="A446" t="str"><v>LYSVUL</v></cell><cell r="B446" t="str"><v>Lysimachia vulgaris</v></cell></row><row r="446"><cell r="E446" t="str"><v>L.      </v></cell></row><row r="446"><cell r="M446" t="str"><v>PHe</v></cell><cell r="N446"><v>8</v></cell><cell r="O446" t="str"><v>HEL</v></cell></row><row r="446"><cell r="Q446" t="str"><v>DICOT</v></cell></row><row r="446"><cell r="S446"><v>1887</v></cell></row><row r="447"><cell r="A447" t="str"><v>LYTLON</v></cell><cell r="B447" t="str"><v>Lythrum portula subsp. longidentata</v></cell></row><row r="447"><cell r="E447" t="str"><v>      </v></cell></row><row r="447"><cell r="M447" t="str"><v>PHe</v></cell><cell r="N447"><v>8</v></cell><cell r="O447" t="str"><v>HYD/HEL</v></cell></row><row r="447"><cell r="Q447" t="str"><v>DICOT</v></cell></row><row r="447"><cell r="S447"><v>19848</v></cell></row><row r="448"><cell r="A448" t="str"><v>LYTPOP</v></cell><cell r="B448" t="str"><v>Lythrum portula subsp. portula</v></cell></row><row r="448"><cell r="E448" t="str"><v>      </v></cell></row><row r="448"><cell r="M448" t="str"><v>PHe</v></cell><cell r="N448"><v>8</v></cell><cell r="O448" t="str"><v>HYD/HEL</v></cell></row><row r="448"><cell r="Q448" t="str"><v>DICOT</v></cell></row><row r="448"><cell r="S448"><v>19849</v></cell></row><row r="449"><cell r="A449" t="str"><v>LYTPOR</v></cell><cell r="B449" t="str"><v>Lythrum portula</v></cell></row><row r="449"><cell r="E449" t="str"><v>      </v></cell><cell r="F449" t="str"><v>Peplis portula L.</v></cell></row><row r="449"><cell r="M449" t="str"><v>PHe</v></cell><cell r="N449"><v>8</v></cell><cell r="O449" t="str"><v>HYD/HEL</v></cell></row><row r="449"><cell r="Q449" t="str"><v>DICOT</v></cell></row><row r="449"><cell r="S449"><v>1822</v></cell></row><row r="450"><cell r="A450" t="str"><v>LYTSAL</v></cell><cell r="B450" t="str"><v>Lythrum salicaria</v></cell></row><row r="450"><cell r="E450" t="str"><v>L.      </v></cell></row><row r="450"><cell r="M450" t="str"><v>PHe</v></cell><cell r="N450"><v>8</v></cell><cell r="O450" t="str"><v>HEL</v></cell></row><row r="450"><cell r="Q450" t="str"><v>DICOT</v></cell></row><row r="450"><cell r="S450"><v>1823</v></cell></row><row r="451"><cell r="A451" t="str"><v>LYTSPX</v></cell><cell r="B451" t="str"><v>Lythrum sp.</v></cell></row><row r="451"><cell r="E451" t="str"><v>      </v></cell></row><row r="451"><cell r="M451" t="str"><v>PHe</v></cell><cell r="N451"><v>8</v></cell><cell r="O451" t="str"><v>HEL</v></cell></row><row r="451"><cell r="Q451" t="str"><v>DICOT</v></cell></row><row r="451"><cell r="S451"><v>1821</v></cell></row><row r="452"><cell r="A452" t="str"><v>MACPAL</v></cell><cell r="B452" t="str"><v>Marchantia paleacea</v></cell></row><row r="452"><cell r="E452" t="str"><v>Bertol.</v></cell></row><row r="452"><cell r="M452" t="str"><v>BRh</v></cell><cell r="N452"><v>4</v></cell></row><row r="452"><cell r="S452"><v>1985</v></cell></row><row r="453"><cell r="A453" t="str"><v>MACPOL</v></cell><cell r="B453" t="str"><v>Marchantia polymorpha</v></cell></row><row r="453"><cell r="E453" t="str"><v>L.      </v></cell><cell r="F453" t="str"><v>Marchantia alpestris (Nees) Burgeff</v></cell><cell r="G453" t="str"><v>Marchantia aquatica (Nees) Burgeff</v></cell><cell r="H453" t="str"><v>Marchantia vittata Raddi</v></cell></row><row r="453"><cell r="M453" t="str"><v>BRh</v></cell><cell r="N453"><v>4</v></cell></row><row r="453"><cell r="S453"><v>1192</v></cell></row><row r="454"><cell r="A454" t="str"><v>MACSPX</v></cell><cell r="B454" t="str"><v>Marchantia sp.</v></cell></row><row r="454"><cell r="E454" t="str"><v>L.      </v></cell></row><row r="454"><cell r="M454" t="str"><v>BRh</v></cell><cell r="N454"><v>4</v></cell></row><row r="454"><cell r="S454"><v>1191</v></cell></row><row r="455"><cell r="A455" t="str"><v>MARAQU</v></cell><cell r="B455" t="str"><v>Marsupella aquatica</v></cell><cell r="C455"><v>19</v></cell><cell r="D455"><v>2</v></cell><cell r="E455" t="str"><v>(Lindenb.) Dumort. </v></cell><cell r="F455" t="str"><v>Marsupella aquatica (Lindenb.) Schiffn. </v></cell><cell r="G455" t="str"><v>Marsupella robusta (De Not.) A. Evans</v></cell><cell r="H455" t="str"><v>Sarcoscyphus emarginatus var. aquatica Nees</v></cell><cell r="I455" t="str"><v>Scarcoscyphus Ehrartii var. robustus De Not.</v></cell><cell r="J455" t="str"><v>Jungermannia aquatica Schrader</v></cell><cell r="K455" t="str"><v>Jungermannia emarginata var. aquatica Lindenb.</v></cell></row><row r="455"><cell r="M455" t="str"><v>BRh</v></cell><cell r="N455"><v>4</v></cell></row><row r="455"><cell r="P455" t="str"><v>IBMR</v></cell></row><row r="455"><cell r="S455"><v>25712</v></cell></row><row r="456"><cell r="A456" t="str"><v>MAREMA</v></cell><cell r="B456" t="str"><v>Marsupella emarginata var. emarginata</v></cell><cell r="C456"><v>20</v></cell><cell r="D456"><v>3</v></cell><cell r="E456" t="str"><v>(Ehrh.) Dumort.</v></cell><cell r="F456" t="str"><v>Marsupella emarginata (Ehrh.) Dumort.      </v></cell><cell r="G456" t="str"><v>Sarcoscyphus emarginatus (Ehrh.) C. Hartm.</v></cell><cell r="H456" t="str"><v>Jungermannia emarginata Ehrh.</v></cell></row><row r="456"><cell r="M456" t="str"><v>BRh</v></cell><cell r="N456"><v>4</v></cell></row><row r="456"><cell r="P456" t="str"><v>IBMR</v></cell></row><row r="456"><cell r="S456"><v>1194</v></cell></row><row r="457"><cell r="A457" t="str"><v>MARSPH</v></cell><cell r="B457" t="str"><v>Marsupella sphacelata</v></cell></row><row r="457"><cell r="E457" t="str"><v>(Gieseke ex Lindenb.) Dumort.</v></cell><cell r="F457" t="str"><v>Marsupella erythrorhiza Schiffn.</v></cell><cell r="G457" t="str"><v>Marsupella joergensenii Schiffn.</v></cell><cell r="H457" t="str"><v>Marsupella sullivantii (De Not.) A. Evans.</v></cell><cell r="I457" t="str"><v>Jungermannia sphacelata Giesecke ex Lindenb.</v></cell><cell r="J457" t="str"><v>Nardia sphacelata (Gieseke ex Lindenb.) Carrington</v></cell><cell r="K457" t="str"><v>Sarcoscyphus sphacelatus (Gieseke ex Lindenb.) Nees</v></cell><cell r="L457" t="str"><v>Sarcoscyphus sullivantii De Not.</v></cell><cell r="M457" t="str"><v>BRh</v></cell><cell r="N457"><v>4</v></cell></row><row r="457"><cell r="S457"><v>19854</v></cell></row><row r="458"><cell r="A458" t="str"><v>MARSPX</v></cell><cell r="B458" t="str"><v>Marsupella sp.</v></cell></row><row r="458"><cell r="E458" t="str"><v>Dumort.      </v></cell></row><row r="458"><cell r="M458" t="str"><v>BRh</v></cell><cell r="N458"><v>4</v></cell></row><row r="458"><cell r="S458"><v>1193</v></cell></row><row r="459"><cell r="A459" t="str"><v>MASAEG</v></cell><cell r="B459" t="str"><v>Marsilea aegyptiaca</v></cell></row><row r="459"><cell r="E459" t="str"><v>      </v></cell></row><row r="459"><cell r="M459" t="str"><v>PHy</v></cell><cell r="N459"><v>7</v></cell><cell r="O459" t="str"><v>HYD</v></cell></row><row r="459"><cell r="Q459" t="str"><v>MONOCOT</v></cell></row><row r="459"><cell r="S459"><v>19851</v></cell></row><row r="460"><cell r="A460" t="str"><v>MASAZO</v></cell><cell r="B460" t="str"><v>Marsilea azorica</v></cell></row><row r="460"><cell r="E460" t="str"><v>      </v></cell></row><row r="460"><cell r="M460" t="str"><v>PHy</v></cell><cell r="N460"><v>7</v></cell><cell r="O460" t="str"><v>HYD</v></cell></row><row r="460"><cell r="Q460" t="str"><v>MONOCOT</v></cell></row><row r="460"><cell r="S460"><v>19852</v></cell></row><row r="461"><cell r="A461" t="str"><v>MASQUA</v></cell><cell r="B461" t="str"><v>Marsilea quadrifolia</v></cell></row><row r="461"><cell r="E461" t="str"><v>L.      </v></cell></row><row r="461"><cell r="M461" t="str"><v>PHy</v></cell><cell r="N461"><v>7</v></cell><cell r="O461" t="str"><v>HYD</v></cell></row><row r="461"><cell r="Q461" t="str"><v>MONOCOT</v></cell></row><row r="461"><cell r="S461"><v>1393</v></cell></row><row r="462"><cell r="A462" t="str"><v>MASSTR</v></cell><cell r="B462" t="str"><v>Marsilea strigosa</v></cell></row><row r="462"><cell r="E462" t="str"><v>      </v></cell></row><row r="462"><cell r="M462" t="str"><v>PHy</v></cell><cell r="N462"><v>7</v></cell><cell r="O462" t="str"><v>HYD</v></cell></row><row r="462"><cell r="Q462" t="str"><v>MONOCOT</v></cell></row><row r="462"><cell r="S462"><v>19853</v></cell></row><row r="463"><cell r="A463" t="str"><v>MELSPX</v></cell><cell r="B463" t="str"><v>Melosira sp.</v></cell><cell r="C463"><v>10</v></cell><cell r="D463"><v>1</v></cell><cell r="E463" t="str"><v>C. Agardh     </v></cell></row><row r="463"><cell r="M463" t="str"><v>ALG</v></cell><cell r="N463"><v>2</v></cell></row><row r="463"><cell r="P463" t="str"><v>IBMR</v></cell></row><row r="463"><cell r="S463"><v>8714</v></cell></row><row r="464"><cell r="A464" t="str"><v>MENAQU</v></cell><cell r="B464" t="str"><v>Mentha aquatica</v></cell><cell r="C464"><v>12</v></cell><cell r="D464"><v>1</v></cell><cell r="E464" t="str"><v>L.      </v></cell></row><row r="464"><cell r="M464" t="str"><v>PHe</v></cell><cell r="N464"><v>8</v></cell><cell r="O464" t="str"><v>HYD/HEL</v></cell><cell r="P464" t="str"><v>IBMR</v></cell><cell r="Q464" t="str"><v>DICOT</v></cell></row><row r="464"><cell r="S464"><v>1791</v></cell></row><row r="465"><cell r="A465" t="str"><v>MENARV</v></cell><cell r="B465" t="str"><v>Mentha arvensis</v></cell></row><row r="465"><cell r="E465" t="str"><v>      </v></cell></row><row r="465"><cell r="M465" t="str"><v>PHe</v></cell><cell r="N465"><v>8</v></cell><cell r="O465" t="str"><v>HEL</v></cell></row><row r="465"><cell r="Q465" t="str"><v>DICOT</v></cell></row><row r="465"><cell r="S465"><v>19855</v></cell></row><row r="466"><cell r="A466" t="str"><v>MENLON</v></cell><cell r="B466" t="str"><v>Mentha longifolia</v></cell></row><row r="466"><cell r="E466" t="str"><v>(L.) Huds. em. Harley   </v></cell></row><row r="466"><cell r="M466" t="str"><v>PHe</v></cell><cell r="N466"><v>8</v></cell><cell r="O466" t="str"><v>HEL</v></cell></row><row r="466"><cell r="Q466" t="str"><v>DICOT</v></cell></row><row r="466"><cell r="S466"><v>19856</v></cell></row><row r="467"><cell r="A467" t="str"><v>MENROT</v></cell><cell r="B467" t="str"><v>Mentha x rotundifolia</v></cell></row><row r="467"><cell r="E467" t="str"><v>(L.) Huds     </v></cell></row><row r="467"><cell r="M467" t="str"><v>PHe</v></cell><cell r="N467"><v>8</v></cell><cell r="O467" t="str"><v>HEL</v></cell></row><row r="467"><cell r="Q467" t="str"><v>DICOT</v></cell></row><row r="467"><cell r="S467"><v>19857</v></cell></row><row r="468"><cell r="A468" t="str"><v>MENSPX</v></cell><cell r="B468" t="str"><v>Mentha sp.</v></cell></row><row r="468"><cell r="E468" t="str"><v>      </v></cell></row><row r="468"><cell r="M468" t="str"><v>PHe</v></cell><cell r="N468"><v>8</v></cell><cell r="O468" t="str"><v>HEL</v></cell></row><row r="468"><cell r="Q468" t="str"><v>DICOT</v></cell></row><row r="468"><cell r="S468"><v>179</v></cell></row><row r="469"><cell r="A469" t="str"><v>MENVER</v></cell><cell r="B469" t="str"><v>Mentha x verticillata</v></cell></row><row r="469"><cell r="E469" t="str"><v>      </v></cell></row><row r="469"><cell r="M469" t="str"><v>PHe</v></cell><cell r="N469"><v>8</v></cell><cell r="O469" t="str"><v>HEL</v></cell></row><row r="469"><cell r="Q469" t="str"><v>DICOT</v></cell></row><row r="469"><cell r="S469"><v>19858</v></cell></row><row r="470"><cell r="A470" t="str"><v>MERSPX</v></cell><cell r="B470" t="str"><v>Merismopedia sp.</v></cell></row><row r="470"><cell r="E470" t="str"><v>Meyen</v></cell><cell r="F470" t="str"><v>Agmenellum Bréb.</v></cell></row><row r="470"><cell r="M470" t="str"><v>ALG</v></cell><cell r="N470"><v>2</v></cell></row><row r="470"><cell r="S470"><v>4739</v></cell></row><row r="471"><cell r="A471" t="str"><v>MEYTRI</v></cell><cell r="B471" t="str"><v>Menyanthes trifoliata</v></cell><cell r="C471"><v>16</v></cell><cell r="D471"><v>3</v></cell><cell r="E471" t="str"><v>L.      </v></cell></row><row r="471"><cell r="M471" t="str"><v>PHe</v></cell><cell r="N471"><v>8</v></cell><cell r="O471" t="str"><v>HYD/HEL</v></cell><cell r="P471" t="str"><v>IBMR</v></cell><cell r="Q471" t="str"><v>DICOT</v></cell></row><row r="471"><cell r="S471"><v>1829</v></cell></row><row r="472"><cell r="A472" t="str"><v>MICSPX</v></cell><cell r="B472" t="str"><v>Microspora sp.</v></cell><cell r="C472"><v>12</v></cell><cell r="D472"><v>2</v></cell><cell r="E472" t="str"><v>Thuret      </v></cell></row><row r="472"><cell r="M472" t="str"><v>ALG</v></cell><cell r="N472"><v>2</v></cell></row><row r="472"><cell r="P472" t="str"><v>IBMR</v></cell></row><row r="472"><cell r="S472"><v>1132</v></cell></row><row r="473"><cell r="A473" t="str"><v>MIMGUT</v></cell><cell r="B473" t="str"><v>Mimulus guttatus</v></cell></row><row r="473"><cell r="E473" t="str"><v>DC      </v></cell></row><row r="473"><cell r="M473" t="str"><v>PHg</v></cell><cell r="N473"><v>9</v></cell><cell r="O473" t="str"><v>HYG</v></cell></row><row r="473"><cell r="Q473" t="str"><v>DICOT</v></cell></row><row r="473"><cell r="S473"><v>1946</v></cell></row><row r="474"><cell r="A474" t="str"><v>MIOAER</v></cell><cell r="B474" t="str"><v>Microscystis aeruginosa</v></cell></row><row r="474"><cell r="E474" t="str"><v>Kütz. em. Elenkin</v></cell><cell r="F474" t="str"><v>Microcystis flos-aquae (Wittr.) Kirchn.</v></cell></row><row r="474"><cell r="M474" t="str"><v>ALG</v></cell><cell r="N474"><v>2</v></cell></row><row r="474"><cell r="S474"><v>638</v></cell></row><row r="475"><cell r="A475" t="str"><v>MIOSPX</v></cell><cell r="B475" t="str"><v>Microscystis sp.</v></cell></row><row r="475"><cell r="E475" t="str"><v>Kützing      </v></cell></row><row r="475"><cell r="M475" t="str"><v>ALG</v></cell><cell r="N475"><v>2</v></cell></row><row r="475"><cell r="S475"><v>474</v></cell></row><row r="476"><cell r="A476" t="str"><v>MIRSPX</v></cell><cell r="B476" t="str"><v>Microcoleus sp.</v></cell></row><row r="476"><cell r="E476" t="str"><v>Desmazières      </v></cell></row><row r="476"><cell r="M476" t="str"><v>ALG</v></cell><cell r="N476"><v>2</v></cell></row><row r="476"><cell r="S476"><v>645</v></cell></row><row r="477"><cell r="A477" t="str"><v>MNIHOR</v></cell><cell r="B477" t="str"><v>Mnium hornum</v></cell></row><row r="477"><cell r="E477" t="str"><v>Hedw.      </v></cell><cell r="F477" t="str"><v>Polla horna (Hedw.) Brid.</v></cell></row><row r="477"><cell r="M477" t="str"><v>BRm</v></cell><cell r="N477"><v>5</v></cell></row><row r="477"><cell r="S477"><v>134</v></cell></row><row r="478"><cell r="A478" t="str"><v>MNISPX</v></cell><cell r="B478" t="str"><v>Mnium sp.</v></cell></row><row r="478"><cell r="E478" t="str"><v>Hedw.      </v></cell></row><row r="478"><cell r="M478" t="str"><v>BRm</v></cell><cell r="N478"><v>5</v></cell></row><row r="478"><cell r="S478"><v>1338</v></cell></row><row r="479"><cell r="A479" t="str"><v>MOLARU</v></cell><cell r="B479" t="str"><v>Molinia arundinacea</v></cell></row><row r="479"><cell r="E479" t="str"><v>Schrank      </v></cell></row><row r="479"><cell r="M479" t="str"><v>PHx</v></cell><cell r="N479"><v>1</v></cell></row><row r="479"><cell r="Q479" t="str"><v>MONOCOT</v></cell></row><row r="479"><cell r="S479"><v>19862</v></cell></row><row r="480"><cell r="A480" t="str"><v>MOLCAE</v></cell><cell r="B480" t="str"><v>Molinia caerulea</v></cell></row><row r="480"><cell r="E480" t="str"><v>(L.) Moench     </v></cell></row><row r="480"><cell r="M480" t="str"><v>PHg</v></cell><cell r="N480"><v>9</v></cell><cell r="O480" t="str"><v>HYG</v></cell></row><row r="480"><cell r="Q480" t="str"><v>MONOCOT</v></cell></row><row r="480"><cell r="S480"><v>1571</v></cell></row><row r="481"><cell r="A481" t="str"><v>MONAMP</v></cell><cell r="B481" t="str"><v>Montia fontana subsp. amporitana</v></cell><cell r="C481"><v>15</v></cell><cell r="D481"><v>2</v></cell><cell r="E481" t="str"><v>      </v></cell></row><row r="481"><cell r="M481" t="str"><v>PHe</v></cell><cell r="N481"><v>8</v></cell><cell r="O481" t="str"><v>HYD/HEL</v></cell></row><row r="481"><cell r="Q481" t="str"><v>DICOT</v></cell></row><row r="481"><cell r="S481"><v>19864</v></cell></row><row r="482"><cell r="A482" t="str"><v>MONFOF</v></cell><cell r="B482" t="str"><v>Montia fontana subsp. fontana</v></cell><cell r="C482"><v>15</v></cell><cell r="D482"><v>2</v></cell><cell r="E482" t="str"><v>      </v></cell></row><row r="482"><cell r="M482" t="str"><v>PHe</v></cell><cell r="N482"><v>8</v></cell><cell r="O482" t="str"><v>HYD/HEL</v></cell></row><row r="482"><cell r="Q482" t="str"><v>DICOT</v></cell></row><row r="482"><cell r="S482"><v>19865</v></cell></row><row r="483"><cell r="A483" t="str"><v>MONFON</v></cell><cell r="B483" t="str"><v>Montia fontana</v></cell><cell r="C483"><v>15</v></cell><cell r="D483"><v>2</v></cell><cell r="E483" t="str"><v>L. agg.     </v></cell></row><row r="483"><cell r="M483" t="str"><v>PHe</v></cell><cell r="N483"><v>8</v></cell><cell r="O483" t="str"><v>HYD/HEL</v></cell><cell r="P483" t="str"><v>IBMR</v></cell><cell r="Q483" t="str"><v>DICOT</v></cell></row><row r="483"><cell r="S483"><v>1879</v></cell></row><row r="484"><cell r="A484" t="str"><v>MONKOR</v></cell><cell r="B484" t="str"><v>Monochoria korsakowii</v></cell></row><row r="484"><cell r="E484" t="str"><v>      </v></cell></row><row r="484"><cell r="M484" t="str"><v>PHe</v></cell><cell r="N484"><v>8</v></cell><cell r="O484" t="str"><v>HYD/HEL</v></cell></row><row r="484"><cell r="Q484" t="str"><v>MONOCOT</v></cell></row><row r="484"><cell r="S484"><v>19863</v></cell></row><row r="485"><cell r="A485" t="str"><v>MONMIN</v></cell><cell r="B485" t="str"><v>Montia fontana subsp. minor</v></cell><cell r="C485"><v>15</v></cell><cell r="D485"><v>2</v></cell><cell r="E485" t="str"><v>      </v></cell></row><row r="485"><cell r="M485" t="str"><v>PHe</v></cell><cell r="N485"><v>8</v></cell><cell r="O485" t="str"><v>HYD/HEL</v></cell></row><row r="485"><cell r="Q485" t="str"><v>DICOT</v></cell></row><row r="485"><cell r="S485"><v>19866</v></cell></row><row r="486"><cell r="A486" t="str"><v>MONSPX</v></cell><cell r="B486" t="str"><v>Montia sp.</v></cell></row><row r="486"><cell r="E486" t="str"><v>      </v></cell></row><row r="486"><cell r="M486" t="str"><v>PHe</v></cell><cell r="N486"><v>8</v></cell><cell r="O486" t="str"><v>HYD/HEL</v></cell></row><row r="486"><cell r="Q486" t="str"><v>DICOT</v></cell></row><row r="486"><cell r="S486"><v>1878</v></cell></row><row r="487"><cell r="A487" t="str"><v>MONVAR</v></cell><cell r="B487" t="str"><v>Montia fontana subsp. variabilis</v></cell><cell r="C487"><v>15</v></cell><cell r="D487"><v>2</v></cell><cell r="E487" t="str"><v>S. M. Walters    </v></cell></row><row r="487"><cell r="M487" t="str"><v>PHe</v></cell><cell r="N487"><v>8</v></cell><cell r="O487" t="str"><v>HYD/HEL</v></cell></row><row r="487"><cell r="Q487" t="str"><v>DICOT</v></cell></row><row r="487"><cell r="S487"><v>19867</v></cell></row><row r="488"><cell r="A488" t="str"><v>MOOSPX</v></cell><cell r="B488" t="str"><v>Monostroma sp.</v></cell><cell r="C488"><v>13</v></cell><cell r="D488"><v>2</v></cell><cell r="E488" t="str"><v>Thuret      </v></cell></row><row r="488"><cell r="M488" t="str"><v>ALG</v></cell><cell r="N488"><v>2</v></cell></row><row r="488"><cell r="P488" t="str"><v>IBMR</v></cell></row><row r="488"><cell r="S488"><v>61</v></cell></row><row r="489"><cell r="A489" t="str"><v>MOUSPX</v></cell><cell r="B489" t="str"><v>Mougeotia sp.</v></cell><cell r="C489"><v>13</v></cell><cell r="D489"><v>2</v></cell><cell r="E489" t="str"><v>C. Agardh     </v></cell></row><row r="489"><cell r="M489" t="str"><v>ALG</v></cell><cell r="N489"><v>2</v></cell></row><row r="489"><cell r="P489" t="str"><v>IBMR</v></cell></row><row r="489"><cell r="S489"><v>1146</v></cell></row><row r="490"><cell r="A490" t="str"><v>MURBLU</v></cell><cell r="B490" t="str"><v>Murdannia blumei</v></cell></row><row r="490"><cell r="E490" t="str"><v>      </v></cell></row><row r="490"><cell r="M490" t="str"><v>PHe</v></cell><cell r="N490"><v>8</v></cell><cell r="O490" t="str"><v>HYD/HEL</v></cell></row><row r="490"><cell r="Q490" t="str"><v>MONOCOT</v></cell></row><row r="490"><cell r="S490"><v>19868</v></cell></row><row r="491"><cell r="A491" t="str"><v>MYIGAL</v></cell><cell r="B491" t="str"><v>Myrica gale</v></cell></row><row r="491"><cell r="E491" t="str"><v>      </v></cell></row><row r="491"><cell r="M491" t="str"><v>PHx</v></cell><cell r="N491"><v>1</v></cell><cell r="O491" t="str"><v>NA</v></cell></row><row r="491"><cell r="Q491" t="str"><v>DICOT</v></cell></row><row r="491"><cell r="S491"><v>1832</v></cell></row><row r="492"><cell r="A492" t="str"><v>MYOLAX</v></cell><cell r="B492" t="str"><v>Myosotis laxa</v></cell></row><row r="492"><cell r="E492" t="str"><v>      </v></cell></row><row r="492"><cell r="M492" t="str"><v>PHe</v></cell><cell r="N492"><v>8</v></cell><cell r="O492" t="str"><v>HEL</v></cell></row><row r="492"><cell r="Q492" t="str"><v>DICOT</v></cell></row><row r="492"><cell r="S492"><v>169</v></cell></row><row r="493"><cell r="A493" t="str"><v>MYOPAL</v></cell><cell r="B493" t="str"><v>Myosotis gr. palustris</v></cell><cell r="C493"><v>12</v></cell><cell r="D493"><v>1</v></cell><cell r="E493" t="str"><v>      </v></cell><cell r="F493" t="str"><v>Myosotis scorpioïdes L.</v></cell></row><row r="493"><cell r="M493" t="str"><v>PHe</v></cell><cell r="N493"><v>8</v></cell><cell r="O493" t="str"><v>HYD/HEL</v></cell><cell r="P493" t="str"><v>IBMR</v></cell><cell r="Q493" t="str"><v>DICOT</v></cell></row><row r="493"><cell r="S493"><v>1692</v></cell></row><row r="494"><cell r="A494" t="str"><v>MYOSEC</v></cell><cell r="B494" t="str"><v>Myosotis secunda</v></cell></row><row r="494"><cell r="E494" t="str"><v>Murray      </v></cell></row><row r="494"><cell r="M494" t="str"><v>PHe</v></cell><cell r="N494"><v>8</v></cell><cell r="O494" t="str"><v>HEL</v></cell></row><row r="494"><cell r="Q494" t="str"><v>DICOT</v></cell></row><row r="494"><cell r="S494"><v>19869</v></cell></row><row r="495"><cell r="A495" t="str"><v>MYOSPX</v></cell><cell r="B495" t="str"><v>Myosotis sp.</v></cell></row><row r="495"><cell r="E495" t="str"><v>      </v></cell></row><row r="495"><cell r="M495" t="str"><v>PHe</v></cell><cell r="N495"><v>8</v></cell><cell r="O495" t="str"><v>HEL</v></cell></row><row r="495"><cell r="Q495" t="str"><v>DICOT</v></cell></row><row r="495"><cell r="S495"><v>1688</v></cell></row><row r="496"><cell r="A496" t="str"><v>MYOSTO</v></cell><cell r="B496" t="str"><v>Myosotis stolonifera</v></cell></row><row r="496"><cell r="E496" t="str"><v>      </v></cell></row><row r="496"><cell r="M496" t="str"><v>PHe</v></cell><cell r="N496"><v>8</v></cell><cell r="O496" t="str"><v>HEL</v></cell></row><row r="496"><cell r="Q496" t="str"><v>DICOT</v></cell></row><row r="496"><cell r="S496"><v>1987</v></cell></row><row r="497"><cell r="A497" t="str"><v>MYRALT</v></cell><cell r="B497" t="str"><v>Myriophyllum alterniflorum</v></cell><cell r="C497"><v>13</v></cell><cell r="D497"><v>2</v></cell><cell r="E497" t="str"><v>DC.      </v></cell></row><row r="497"><cell r="M497" t="str"><v>PHy</v></cell><cell r="N497"><v>7</v></cell><cell r="O497" t="str"><v>HYD</v></cell><cell r="P497" t="str"><v>IBMR</v></cell><cell r="Q497" t="str"><v>DICOT</v></cell></row><row r="497"><cell r="S497"><v>1776</v></cell></row><row r="498"><cell r="A498" t="str"><v>MYRAQU</v></cell><cell r="B498" t="str"><v>Myriophyllum aquaticum</v></cell></row><row r="498"><cell r="E498" t="str"><v>      </v></cell></row><row r="498"><cell r="M498" t="str"><v>PHe</v></cell><cell r="N498"><v>8</v></cell><cell r="O498" t="str"><v>HYD/HEL</v></cell></row><row r="498"><cell r="Q498" t="str"><v>DICOT</v></cell></row><row r="498"><cell r="S498"><v>19871</v></cell></row><row r="499"><cell r="A499" t="str"><v>MYREXA</v></cell><cell r="B499" t="str"><v>Myriophyllum exalbescens</v></cell></row><row r="499"><cell r="E499" t="str"><v>      </v></cell></row><row r="499"><cell r="M499" t="str"><v>PHy</v></cell><cell r="N499"><v>7</v></cell><cell r="O499" t="str"><v>HYD</v></cell></row><row r="499"><cell r="Q499" t="str"><v>DICOT</v></cell></row><row r="499"><cell r="S499"><v>19872</v></cell></row><row r="500"><cell r="A500" t="str"><v>MYRHET</v></cell><cell r="B500" t="str"><v>Myriophyllum heterophyllum</v></cell></row><row r="500"><cell r="E500" t="str"><v>      </v></cell></row><row r="500"><cell r="M500" t="str"><v>PHy</v></cell><cell r="N500"><v>7</v></cell><cell r="O500" t="str"><v>HYD</v></cell></row><row r="500"><cell r="Q500" t="str"><v>DICOT</v></cell></row><row r="500"><cell r="S500"><v>19873</v></cell></row><row r="501"><cell r="A501" t="str"><v>MYRSPI</v></cell><cell r="B501" t="str"><v>Myriophyllum spicatum</v></cell><cell r="C501"><v>8</v></cell><cell r="D501"><v>2</v></cell><cell r="E501" t="str"><v>L.      </v></cell></row><row r="501"><cell r="M501" t="str"><v>PHy</v></cell><cell r="N501"><v>7</v></cell><cell r="O501" t="str"><v>HYD</v></cell><cell r="P501" t="str"><v>IBMR</v></cell><cell r="Q501" t="str"><v>DICOT</v></cell></row><row r="501"><cell r="S501"><v>1778</v></cell></row><row r="502"><cell r="A502" t="str"><v>MYRSPX</v></cell><cell r="B502" t="str"><v>Myriophyllum sp.</v></cell></row><row r="502"><cell r="E502" t="str"><v>      </v></cell></row><row r="502"><cell r="M502" t="str"><v>PHy</v></cell><cell r="N502"><v>7</v></cell><cell r="O502" t="str"><v>HYD</v></cell></row><row r="502"><cell r="Q502" t="str"><v>DICOT</v></cell></row><row r="502"><cell r="S502"><v>1775</v></cell></row><row r="503"><cell r="A503" t="str"><v>MYRVER</v></cell><cell r="B503" t="str"><v>Myriophyllum verticillatum</v></cell><cell r="C503"><v>12</v></cell><cell r="D503"><v>3</v></cell><cell r="E503" t="str"><v>L.      </v></cell></row><row r="503"><cell r="M503" t="str"><v>PHy</v></cell><cell r="N503"><v>7</v></cell><cell r="O503" t="str"><v>HYD</v></cell><cell r="P503" t="str"><v>IBMR</v></cell><cell r="Q503" t="str"><v>DICOT</v></cell></row><row r="503"><cell r="S503"><v>1779</v></cell></row><row r="504"><cell r="A504" t="str"><v>MYRVEU</v></cell><cell r="B504" t="str"><v>Myriophyllum verrucosum</v></cell></row><row r="504"><cell r="E504" t="str"><v>      </v></cell></row><row r="504"><cell r="M504" t="str"><v>PHy</v></cell><cell r="N504"><v>7</v></cell><cell r="O504" t="str"><v>HYD</v></cell></row><row r="504"><cell r="Q504" t="str"><v>DICOT</v></cell></row><row r="504"><cell r="S504"><v>19874</v></cell></row><row r="505"><cell r="A505" t="str"><v>MYSAQU</v></cell><cell r="B505" t="str"><v>Myosoton aquaticum</v></cell></row><row r="505"><cell r="E505" t="str"><v>(L.) Moench     </v></cell></row><row r="505"><cell r="M505" t="str"><v>PHg</v></cell><cell r="N505"><v>9</v></cell><cell r="O505" t="str"><v>HYG</v></cell></row><row r="505"><cell r="Q505" t="str"><v>DICOT</v></cell></row><row r="505"><cell r="S505"><v>171</v></cell></row><row r="506"><cell r="A506" t="str"><v>NAJARM</v></cell><cell r="B506" t="str"><v>Najas marina subsp. armata</v></cell><cell r="C506"><v>5</v></cell><cell r="D506"><v>3</v></cell><cell r="E506" t="str"><v>      </v></cell></row><row r="506"><cell r="M506" t="str"><v>PHy</v></cell><cell r="N506"><v>7</v></cell><cell r="O506" t="str"><v>HYD</v></cell></row><row r="506"><cell r="Q506" t="str"><v>MONOCOT</v></cell></row><row r="506"><cell r="S506"><v>19878</v></cell></row><row r="507"><cell r="A507" t="str"><v>NAJFLE</v></cell><cell r="B507" t="str"><v>Najas flexilis</v></cell></row><row r="507"><cell r="E507" t="str"><v>      </v></cell></row><row r="507"><cell r="M507" t="str"><v>PHy</v></cell><cell r="N507"><v>7</v></cell><cell r="O507" t="str"><v>HYD</v></cell></row><row r="507"><cell r="Q507" t="str"><v>MONOCOT</v></cell></row><row r="507"><cell r="S507"><v>19875</v></cell></row><row r="508"><cell r="A508" t="str"><v>NAJGRA</v></cell><cell r="B508" t="str"><v>Najas gracillima</v></cell></row><row r="508"><cell r="E508" t="str"><v>      </v></cell></row><row r="508"><cell r="M508" t="str"><v>PHy</v></cell><cell r="N508"><v>7</v></cell><cell r="O508" t="str"><v>HYD</v></cell></row><row r="508"><cell r="Q508" t="str"><v>MONOCOT</v></cell></row><row r="508"><cell r="S508"><v>19876</v></cell></row><row r="509"><cell r="A509" t="str"><v>NAJGRM</v></cell><cell r="B509" t="str"><v>Najas graminea</v></cell></row><row r="509"><cell r="E509" t="str"><v>      </v></cell></row><row r="509"><cell r="M509" t="str"><v>PHy</v></cell><cell r="N509"><v>7</v></cell><cell r="O509" t="str"><v>HYD</v></cell></row><row r="509"><cell r="Q509" t="str"><v>MONOCOT</v></cell></row><row r="509"><cell r="S509"><v>19877</v></cell></row><row r="510"><cell r="A510" t="str"><v>NAJINT</v></cell><cell r="B510" t="str"><v>Najas marina subsp. intermedia</v></cell><cell r="C510"><v>5</v></cell><cell r="D510"><v>3</v></cell><cell r="E510" t="str"><v>      </v></cell></row><row r="510"><cell r="M510" t="str"><v>PHy</v></cell><cell r="N510"><v>7</v></cell><cell r="O510" t="str"><v>HYD</v></cell></row><row r="510"><cell r="Q510" t="str"><v>MONOCOT</v></cell></row><row r="510"><cell r="S510"><v>19879</v></cell></row><row r="511"><cell r="A511" t="str"><v>NAJMAM</v></cell><cell r="B511" t="str"><v>Najas marina subsp. marina</v></cell><cell r="C511"><v>5</v></cell><cell r="D511"><v>3</v></cell><cell r="E511" t="str"><v>L.      </v></cell></row><row r="511"><cell r="M511" t="str"><v>PHy</v></cell><cell r="N511"><v>7</v></cell><cell r="O511" t="str"><v>HYD</v></cell></row><row r="511"><cell r="Q511" t="str"><v>MONOCOT</v></cell></row><row r="511"><cell r="S511"><v>1988</v></cell></row><row r="512"><cell r="A512" t="str"><v>NAJMAR</v></cell><cell r="B512" t="str"><v>Najas marina</v></cell><cell r="C512"><v>5</v></cell><cell r="D512"><v>3</v></cell><cell r="E512" t="str"><v>L.      </v></cell><cell r="F512" t="str"><v>Najas major</v></cell></row><row r="512"><cell r="M512" t="str"><v>PHy</v></cell><cell r="N512"><v>7</v></cell><cell r="O512" t="str"><v>HYD</v></cell><cell r="P512" t="str"><v>IBMR</v></cell><cell r="Q512" t="str"><v>MONOCOT</v></cell></row><row r="512"><cell r="S512"><v>1835</v></cell></row><row r="513"><cell r="A513" t="str"><v>NAJMIN</v></cell><cell r="B513" t="str"><v>Najas minor</v></cell><cell r="C513"><v>6</v></cell><cell r="D513"><v>3</v></cell><cell r="E513" t="str"><v>L.      </v></cell></row><row r="513"><cell r="M513" t="str"><v>PHy</v></cell><cell r="N513"><v>7</v></cell><cell r="O513" t="str"><v>HYD</v></cell><cell r="P513" t="str"><v>IBMR</v></cell><cell r="Q513" t="str"><v>MONOCOT</v></cell></row><row r="513"><cell r="S513"><v>1836</v></cell></row><row r="514"><cell r="A514" t="str"><v>NAJORI</v></cell><cell r="B514" t="str"><v>Najas orientalis</v></cell></row><row r="514"><cell r="E514" t="str"><v>      </v></cell></row><row r="514"><cell r="M514" t="str"><v>PHy</v></cell><cell r="N514"><v>7</v></cell><cell r="O514" t="str"><v>HYD</v></cell></row><row r="514"><cell r="Q514" t="str"><v>MONOCOT</v></cell></row><row r="514"><cell r="S514"><v>19881</v></cell></row><row r="515"><cell r="A515" t="str"><v>NAJSPX</v></cell><cell r="B515" t="str"><v>Najas sp.</v></cell></row><row r="515"><cell r="E515" t="str"><v>      </v></cell></row><row r="515"><cell r="M515" t="str"><v>PHy</v></cell><cell r="N515"><v>7</v></cell><cell r="O515" t="str"><v>HYD</v></cell></row><row r="515"><cell r="Q515" t="str"><v>MONOCOT</v></cell></row><row r="515"><cell r="S515"><v>1834</v></cell></row><row r="516"><cell r="A516" t="str"><v>NAJTEN</v></cell><cell r="B516" t="str"><v>Najas tenuissima</v></cell></row><row r="516"><cell r="E516" t="str"><v>      </v></cell></row><row r="516"><cell r="M516" t="str"><v>PHy</v></cell><cell r="N516"><v>7</v></cell><cell r="O516" t="str"><v>HYD</v></cell></row><row r="516"><cell r="Q516" t="str"><v>MONOCOT</v></cell></row><row r="516"><cell r="S516"><v>19882</v></cell></row><row r="517"><cell r="A517" t="str"><v>NARCOM</v></cell><cell r="B517" t="str"><v>Nardia compressa</v></cell><cell r="C517"><v>20</v></cell><cell r="D517"><v>3</v></cell><cell r="E517" t="str"><v>(Hook.) S.F. Gray     </v></cell><cell r="F517" t="str"><v>Alicularia compressa (Hook.) Gottsche et al.</v></cell><cell r="G517" t="str"><v>Alicularia pachyphylla De Not.</v></cell><cell r="H517" t="str"><v>Jungermannia compressa Hook.</v></cell></row><row r="517"><cell r="M517" t="str"><v>BRh</v></cell><cell r="N517"><v>4</v></cell></row><row r="517"><cell r="P517" t="str"><v>IBMR</v></cell></row><row r="517"><cell r="S517"><v>118</v></cell></row><row r="518"><cell r="A518" t="str"><v>NARSCA</v></cell><cell r="B518" t="str"><v>Nardia scalaris</v></cell><cell r="C518"><v>20</v></cell><cell r="D518"><v>3</v></cell><cell r="E518" t="str"><v>S.F. Gray     </v></cell><cell r="F518" t="str"><v>Nardia acicularis</v></cell><cell r="G518" t="str"><v>Alicularia scalaris (Gray) Corda</v></cell><cell r="H518" t="str"><v>Alicularia rotaeana De Not.</v></cell><cell r="I518" t="str"><v>Mesophylla rotaeana (De Not.) Dumort.</v></cell><cell r="J518" t="str"><v>Mesophylla scalaris (Gray) Dumort.</v></cell></row><row r="518"><cell r="M518" t="str"><v>BRh</v></cell><cell r="N518"><v>4</v></cell></row><row r="518"><cell r="P518" t="str"><v>IBMR</v></cell></row><row r="518"><cell r="S518"><v>19883</v></cell></row><row r="519"><cell r="A519" t="str"><v>NARSPX</v></cell><cell r="B519" t="str"><v>Nardia sp.</v></cell></row><row r="519"><cell r="E519" t="str"><v>Gray</v></cell></row><row r="519"><cell r="M519" t="str"><v>BRh</v></cell><cell r="N519"><v>4</v></cell></row><row r="519"><cell r="S519"><v>1179</v></cell></row><row r="520"><cell r="A520" t="str"><v>NASOFF</v></cell><cell r="B520" t="str"><v>Nasturtium officinale</v></cell><cell r="C520"><v>11</v></cell><cell r="D520"><v>1</v></cell><cell r="E520" t="str"><v>sl R. Br.    </v></cell><cell r="F520" t="str"><v>Rorippa nasturtium-aquaticum L.</v></cell></row><row r="520"><cell r="M520" t="str"><v>PHe</v></cell><cell r="N520"><v>8</v></cell><cell r="O520" t="str"><v>HYD/HEL</v></cell><cell r="P520" t="str"><v>IBMR</v></cell><cell r="Q520" t="str"><v>DICOT</v></cell></row><row r="520"><cell r="S520"><v>1763</v></cell></row><row r="521"><cell r="A521" t="str"><v>NELNUC</v></cell><cell r="B521" t="str"><v>Nelumbo nucifera</v></cell></row><row r="521"><cell r="E521" t="str"><v>      </v></cell></row><row r="521"><cell r="M521" t="str"><v>PHy</v></cell><cell r="N521"><v>7</v></cell><cell r="O521" t="str"><v>HYD</v></cell></row><row r="521"><cell r="Q521" t="str"><v>DICOT</v></cell></row><row r="521"><cell r="S521"><v>19885</v></cell></row><row r="522"><cell r="A522" t="str"><v>NIEOBT</v></cell><cell r="B522" t="str"><v>Nitellopsis obtusa</v></cell></row><row r="522"><cell r="E522" t="str"><v>(Desv.) J. Groves    </v></cell><cell r="F522" t="str"><v>Chara obtusa Desv.</v></cell></row><row r="522"><cell r="M522" t="str"><v>ALG</v></cell><cell r="N522"><v>2</v></cell></row><row r="522"><cell r="S522"><v>5272</v></cell></row><row r="523"><cell r="A523" t="str"><v>NIESPX</v></cell><cell r="B523" t="str"><v>Nitellopsis sp.</v></cell></row><row r="523"><cell r="E523" t="str"><v>Hy</v></cell></row><row r="523"><cell r="M523" t="str"><v>ALG</v></cell><cell r="N523"><v>2</v></cell></row><row r="523"><cell r="S523"><v>5271</v></cell></row><row r="524"><cell r="A524" t="str"><v>NITCAP</v></cell><cell r="B524" t="str"><v>Nitella capillaris</v></cell></row><row r="524"><cell r="E524" t="str"><v>(Krok.) J. groves & Bullock Webster </v></cell></row><row r="524"><cell r="M524" t="str"><v>ALG</v></cell><cell r="N524"><v>2</v></cell></row><row r="524"><cell r="S524"><v>5263</v></cell></row><row r="525"><cell r="A525" t="str"><v>NITFLE</v></cell><cell r="B525" t="str"><v>Nitella flexilis</v></cell><cell r="C525"><v>14</v></cell><cell r="D525"><v>2</v></cell><cell r="E525" t="str"><v>L., Agardh     </v></cell><cell r="F525" t="str"><v>Chara flexilis L.</v></cell><cell r="G525" t="str"><v>Nitella opaca (Bruzelius) C.Agardh</v></cell></row><row r="525"><cell r="M525" t="str"><v>ALG</v></cell><cell r="N525"><v>2</v></cell></row><row r="525"><cell r="P525" t="str"><v>IBMR</v></cell></row><row r="525"><cell r="S525"><v>5264</v></cell></row><row r="526"><cell r="A526" t="str"><v>NITGRA</v></cell><cell r="B526" t="str"><v>Nitella gracilis</v></cell><cell r="C526"><v>14</v></cell><cell r="D526"><v>2</v></cell><cell r="E526" t="str"><v>(Smith) Agardh     </v></cell><cell r="F526" t="str"><v>Chara gracilis Sm.</v></cell></row><row r="526"><cell r="M526" t="str"><v>ALG</v></cell><cell r="N526"><v>2</v></cell></row><row r="526"><cell r="P526" t="str"><v>IBMR</v></cell></row><row r="526"><cell r="S526"><v>5265</v></cell></row><row r="527"><cell r="A527" t="str"><v>NITMUC</v></cell><cell r="B527" t="str"><v>Nitella mucronata</v></cell><cell r="C527"><v>14</v></cell><cell r="D527"><v>2</v></cell><cell r="E527" t="str"><v>(A. Braun) Miquel    </v></cell><cell r="F527" t="str"><v>Chara mucronata A. Braun</v></cell><cell r="G527" t="str"><v>Nitella furcata subsp mucronata (A.Braun) R.D.Wood</v></cell></row><row r="527"><cell r="M527" t="str"><v>ALG</v></cell><cell r="N527"><v>2</v></cell></row><row r="527"><cell r="P527" t="str"><v>IBMR</v></cell></row><row r="527"><cell r="S527"><v>5266</v></cell></row><row r="528"><cell r="A528" t="str"><v>NITOPA</v></cell><cell r="B528" t="str"><v>Nitella opaca</v></cell></row><row r="528"><cell r="E528" t="str"><v>(Bruzelius) C.Agardh</v></cell><cell r="F528" t="str"><v>Chara opaca Bruzelius.</v></cell></row><row r="528"><cell r="M528" t="str"><v>ALG</v></cell><cell r="N528"><v>2</v></cell></row><row r="528"><cell r="S528"><v>5267</v></cell></row><row r="529"><cell r="A529" t="str"><v>NITSPX</v></cell><cell r="B529" t="str"><v>Nitella sp.</v></cell></row><row r="529"><cell r="E529" t="str"><v>C. Agardh     </v></cell></row><row r="529"><cell r="M529" t="str"><v>ALG</v></cell><cell r="N529"><v>2</v></cell></row><row r="529"><cell r="S529"><v>1122</v></cell></row><row r="530"><cell r="A530" t="str"><v>NITTEN</v></cell><cell r="B530" t="str"><v>Nitella tenuissima</v></cell></row><row r="530"><cell r="E530" t="str"><v>(Desv.) Kütz.</v></cell><cell r="F530" t="str"><v>Chara tenuissima Desv.</v></cell></row><row r="530"><cell r="M530" t="str"><v>ALG</v></cell><cell r="N530"><v>2</v></cell></row><row r="530"><cell r="S530"><v>5269</v></cell></row><row r="531"><cell r="A531" t="str"><v>NITTRA</v></cell><cell r="B531" t="str"><v>Nitella translucens</v></cell></row><row r="531"><cell r="E531" t="str"><v>(Pers.) Agardh     </v></cell><cell r="F531" t="str"><v>Chara translucens Pers.</v></cell></row><row r="531"><cell r="M531" t="str"><v>ALG</v></cell><cell r="N531"><v>2</v></cell></row><row r="531"><cell r="S531"><v>527</v></cell></row><row r="532"><cell r="A532" t="str"><v>NOSSPX</v></cell><cell r="B532" t="str"><v>Nostoc sp.</v></cell><cell r="C532"><v>9</v></cell><cell r="D532"><v>1</v></cell><cell r="E532" t="str"><v>Vaucher      </v></cell></row><row r="532"><cell r="M532" t="str"><v>ALG</v></cell><cell r="N532"><v>2</v></cell></row><row r="532"><cell r="P532" t="str"><v>IBMR</v></cell></row><row r="532"><cell r="S532"><v>115</v></cell></row><row r="533"><cell r="A533" t="str"><v>NUPADV</v></cell><cell r="B533" t="str"><v>Nuphar advena</v></cell></row><row r="533"><cell r="E533" t="str"><v>      </v></cell></row><row r="533"><cell r="M533" t="str"><v>PHy</v></cell><cell r="N533"><v>7</v></cell><cell r="O533" t="str"><v>HYD</v></cell></row><row r="533"><cell r="Q533" t="str"><v>DICOT</v></cell></row><row r="533"><cell r="S533"><v>19891</v></cell></row><row r="534"><cell r="A534" t="str"><v>NUPLUP</v></cell><cell r="B534" t="str"><v>Nuphar lutea x pumila</v></cell></row><row r="534"><cell r="E534" t="str"><v>      </v></cell></row><row r="534"><cell r="M534" t="str"><v>PHy</v></cell><cell r="N534"><v>7</v></cell><cell r="O534" t="str"><v>HYD</v></cell></row><row r="534"><cell r="Q534" t="str"><v>DICOT</v></cell></row><row r="534"><cell r="S534"><v>19892</v></cell></row><row r="535"><cell r="A535" t="str"><v>NUPLUT</v></cell><cell r="B535" t="str"><v>Nuphar lutea</v></cell><cell r="C535"><v>9</v></cell><cell r="D535"><v>1</v></cell><cell r="E535" t="str"><v>(L.) Sibth. & Sm.   </v></cell></row><row r="535"><cell r="M535" t="str"><v>PHy</v></cell><cell r="N535"><v>7</v></cell><cell r="O535" t="str"><v>HYD</v></cell><cell r="P535" t="str"><v>IBMR</v></cell><cell r="Q535" t="str"><v>DICOT</v></cell></row><row r="535"><cell r="S535"><v>1839</v></cell></row><row r="536"><cell r="A536" t="str"><v>NUPPUM</v></cell><cell r="B536" t="str"><v>Nuphar pumila</v></cell></row><row r="536"><cell r="E536" t="str"><v>(Timm) DC.     </v></cell></row><row r="536"><cell r="M536" t="str"><v>PHy</v></cell><cell r="N536"><v>7</v></cell><cell r="O536" t="str"><v>HYD</v></cell></row><row r="536"><cell r="Q536" t="str"><v>DICOT</v></cell></row><row r="536"><cell r="S536"><v>184</v></cell></row><row r="537"><cell r="A537" t="str"><v>NUPSPE</v></cell><cell r="B537" t="str"><v>Nuphar x spenneriana</v></cell></row><row r="537"><cell r="E537" t="str"><v>      </v></cell></row><row r="537"><cell r="M537" t="str"><v>PHy</v></cell><cell r="N537"><v>7</v></cell><cell r="O537" t="str"><v>HYD</v></cell></row><row r="537"><cell r="Q537" t="str"><v>DICOT</v></cell></row><row r="537"><cell r="S537"><v>19893</v></cell></row><row r="538"><cell r="A538" t="str"><v>NUPSPX</v></cell><cell r="B538" t="str"><v>Nuphar sp.</v></cell></row><row r="538"><cell r="E538" t="str"><v>      </v></cell></row><row r="538"><cell r="M538" t="str"><v>PHy</v></cell><cell r="N538"><v>7</v></cell><cell r="O538" t="str"><v>HYD</v></cell></row><row r="538"><cell r="Q538" t="str"><v>DICOT</v></cell></row><row r="538"><cell r="S538"><v>1838</v></cell></row><row r="539"><cell r="A539" t="str"><v>NYMALB</v></cell><cell r="B539" t="str"><v>Nymphaea alba</v></cell><cell r="C539"><v>12</v></cell><cell r="D539"><v>3</v></cell><cell r="E539" t="str"><v>L.      </v></cell></row><row r="539"><cell r="M539" t="str"><v>PHy</v></cell><cell r="N539"><v>7</v></cell><cell r="O539" t="str"><v>HYD</v></cell><cell r="P539" t="str"><v>IBMR</v></cell><cell r="Q539" t="str"><v>DICOT</v></cell></row><row r="539"><cell r="S539"><v>1842</v></cell></row><row r="540"><cell r="A540" t="str"><v>NYMALC</v></cell><cell r="B540" t="str"><v>Nymphaea alba x candida</v></cell></row><row r="540"><cell r="E540" t="str"><v>      </v></cell></row><row r="540"><cell r="M540" t="str"><v>PHy</v></cell><cell r="N540"><v>7</v></cell><cell r="O540" t="str"><v>HYD</v></cell></row><row r="540"><cell r="Q540" t="str"><v>DICOT</v></cell></row><row r="540"><cell r="S540"><v>19894</v></cell></row><row r="541"><cell r="A541" t="str"><v>NYMCAN</v></cell><cell r="B541" t="str"><v>Nymphaea candida</v></cell></row><row r="541"><cell r="E541" t="str"><v>      </v></cell></row><row r="541"><cell r="M541" t="str"><v>PHy</v></cell><cell r="N541"><v>7</v></cell><cell r="O541" t="str"><v>HYD</v></cell></row><row r="541"><cell r="Q541" t="str"><v>DICOT</v></cell></row><row r="541"><cell r="S541"><v>19895</v></cell></row><row r="542"><cell r="A542" t="str"><v>NYMLOT</v></cell><cell r="B542" t="str"><v>Nymphaea lotus</v></cell></row><row r="542"><cell r="E542" t="str"><v>      </v></cell></row><row r="542"><cell r="M542" t="str"><v>PHy</v></cell><cell r="N542"><v>7</v></cell><cell r="O542" t="str"><v>HYD</v></cell></row><row r="542"><cell r="Q542" t="str"><v>DICOT</v></cell></row><row r="542"><cell r="S542"><v>19896</v></cell></row><row r="543"><cell r="A543" t="str"><v>NYMRUB</v></cell><cell r="B543" t="str"><v>Nymphaea rubra</v></cell></row><row r="543"><cell r="E543" t="str"><v>      </v></cell></row><row r="543"><cell r="M543" t="str"><v>PHy</v></cell><cell r="N543"><v>7</v></cell><cell r="O543" t="str"><v>HYD</v></cell></row><row r="543"><cell r="Q543" t="str"><v>DICOT</v></cell></row><row r="543"><cell r="S543"><v>19897</v></cell></row><row r="544"><cell r="A544" t="str"><v>NYMSPX</v></cell><cell r="B544" t="str"><v>Nymphaea sp.</v></cell></row><row r="544"><cell r="E544" t="str"><v>      </v></cell></row><row r="544"><cell r="M544" t="str"><v>PHy</v></cell><cell r="N544"><v>7</v></cell><cell r="O544" t="str"><v>HYD</v></cell></row><row r="544"><cell r="Q544" t="str"><v>DICOT</v></cell></row><row r="544"><cell r="S544"><v>1841</v></cell></row><row r="545"><cell r="A545" t="str"><v>NYMTET</v></cell><cell r="B545" t="str"><v>Nymphaea tetragona</v></cell></row><row r="545"><cell r="E545" t="str"><v>      </v></cell></row><row r="545"><cell r="M545" t="str"><v>PHy</v></cell><cell r="N545"><v>7</v></cell><cell r="O545" t="str"><v>HYD</v></cell></row><row r="545"><cell r="Q545" t="str"><v>DICOT</v></cell></row><row r="545"><cell r="S545"><v>19898</v></cell></row><row r="546"><cell r="A546" t="str"><v>NYPPEL</v></cell><cell r="B546" t="str"><v>Nymphoides peltata</v></cell><cell r="C546"><v>10</v></cell><cell r="D546"><v>2</v></cell><cell r="E546" t="str"><v>(S. G. Gmelin) O. Kuntze  </v></cell></row><row r="546"><cell r="M546" t="str"><v>PHy</v></cell><cell r="N546"><v>7</v></cell><cell r="O546" t="str"><v>HYD</v></cell><cell r="P546" t="str"><v>IBMR</v></cell><cell r="Q546" t="str"><v>DICOT</v></cell></row><row r="546"><cell r="S546"><v>1594</v></cell></row><row r="547"><cell r="A547" t="str"><v>OCTFON</v></cell><cell r="B547" t="str"><v>Octodiceras fontanum</v></cell><cell r="C547"><v>7</v></cell><cell r="D547"><v>3</v></cell><cell r="E547" t="str"><v>(B. Pyl.) Lindb.</v></cell><cell r="F547" t="str"><v>Fissidens fontanus (B. Pyl.) Steud.</v></cell><cell r="G547" t="str"><v>Fissidens julianus (Savi ex Lam. & DC.) Schimp.</v></cell><cell r="H547" t="str"><v>Octodiceras julianum (Savi ex Lam. & DC.) Brid.</v></cell></row><row r="547"><cell r="M547" t="str"><v>BRm</v></cell><cell r="N547"><v>5</v></cell></row><row r="547"><cell r="P547" t="str"><v>IBMR</v></cell></row><row r="547"><cell r="S547"><v>133</v></cell></row><row r="548"><cell r="A548" t="str"><v>OEDSPX</v></cell><cell r="B548" t="str"><v>Oedogonium sp.</v></cell><cell r="C548"><v>6</v></cell><cell r="D548"><v>2</v></cell><cell r="E548" t="str"><v>Link      </v></cell></row><row r="548"><cell r="M548" t="str"><v>ALG</v></cell><cell r="N548"><v>2</v></cell></row><row r="548"><cell r="P548" t="str"><v>IBMR</v></cell></row><row r="548"><cell r="S548"><v>1134</v></cell></row><row r="549"><cell r="A549" t="str"><v>OENAQU</v></cell><cell r="B549" t="str"><v>Oenanthe aquatica</v></cell><cell r="C549"><v>11</v></cell><cell r="D549"><v>2</v></cell><cell r="E549" t="str"><v>(L.) Poiret     </v></cell></row><row r="549"><cell r="M549" t="str"><v>PHe</v></cell><cell r="N549"><v>8</v></cell><cell r="O549" t="str"><v>HYD/HEL</v></cell><cell r="P549" t="str"><v>IBMR</v></cell><cell r="Q549" t="str"><v>DICOT</v></cell></row><row r="549"><cell r="S549"><v>1985</v></cell></row><row r="550"><cell r="A550" t="str"><v>OENCRO</v></cell><cell r="B550" t="str"><v>Oenanthe crocata</v></cell><cell r="C550"><v>12</v></cell><cell r="D550"><v>2</v></cell><cell r="E550" t="str"><v>L.      </v></cell></row><row r="550"><cell r="M550" t="str"><v>PHe</v></cell><cell r="N550"><v>8</v></cell><cell r="O550" t="str"><v>HYD/HEL</v></cell><cell r="P550" t="str"><v>IBMR</v></cell><cell r="Q550" t="str"><v>DICOT</v></cell></row><row r="550"><cell r="S550"><v>1986</v></cell></row><row r="551"><cell r="A551" t="str"><v>OENFIS</v></cell><cell r="B551" t="str"><v>Oenanthe fistulosa</v></cell></row><row r="551"><cell r="E551" t="str"><v>L.      </v></cell></row><row r="551"><cell r="M551" t="str"><v>PHe</v></cell><cell r="N551"><v>8</v></cell><cell r="O551" t="str"><v>HYD/HEL</v></cell></row><row r="551"><cell r="Q551" t="str"><v>DICOT</v></cell></row><row r="551"><cell r="S551"><v>1987</v></cell></row><row r="552"><cell r="A552" t="str"><v>OENFLU</v></cell><cell r="B552" t="str"><v>Oenanthe fluviatilis</v></cell><cell r="C552"><v>10</v></cell><cell r="D552"><v>2</v></cell><cell r="E552" t="str"><v>(Bab.) Coleman     </v></cell></row><row r="552"><cell r="M552" t="str"><v>PHe</v></cell><cell r="N552"><v>8</v></cell><cell r="O552" t="str"><v>HYD/HEL</v></cell><cell r="P552" t="str"><v>IBMR</v></cell><cell r="Q552" t="str"><v>DICOT</v></cell></row><row r="552"><cell r="S552"><v>1988</v></cell></row><row r="553"><cell r="A553" t="str"><v>OENSPX</v></cell><cell r="B553" t="str"><v>Oenanthe sp.</v></cell></row><row r="553"><cell r="E553" t="str"><v>      </v></cell></row><row r="553"><cell r="M553" t="str"><v>PHe</v></cell><cell r="N553"><v>8</v></cell><cell r="O553" t="str"><v>HYD/HEL</v></cell></row><row r="553"><cell r="Q553" t="str"><v>DICOT</v></cell></row><row r="553"><cell r="S553"><v>1984</v></cell></row><row r="554"><cell r="A554" t="str"><v>ORTRIV</v></cell><cell r="B554" t="str"><v>Orthotrichum rivulare</v></cell><cell r="C554"><v>15</v></cell><cell r="D554"><v>3</v></cell><cell r="E554" t="str"><v>Turn.      </v></cell></row><row r="554"><cell r="M554" t="str"><v>BRm</v></cell><cell r="N554"><v>5</v></cell></row><row r="554"><cell r="P554" t="str"><v>IBMR</v></cell></row><row r="554"><cell r="S554"><v>1352</v></cell></row><row r="555"><cell r="A555" t="str"><v>ORTSPX</v></cell><cell r="B555" t="str"><v>Orthotrichum sp.</v></cell></row><row r="555"><cell r="E555" t="str"><v>Hedw.      </v></cell></row><row r="555"><cell r="M555" t="str"><v>BRm</v></cell><cell r="N555"><v>5</v></cell></row><row r="555"><cell r="S555"><v>1351</v></cell></row><row r="556"><cell r="A556" t="str"><v>ORYSAT</v></cell><cell r="B556" t="str"><v>Oryza sativa</v></cell></row><row r="556"><cell r="E556" t="str"><v>      </v></cell></row><row r="556"><cell r="M556" t="str"><v>PHg</v></cell><cell r="N556"><v>9</v></cell><cell r="O556" t="str"><v>HYG</v></cell></row><row r="556"><cell r="Q556" t="str"><v>MONOCOT</v></cell></row><row r="556"><cell r="S556"><v>199</v></cell></row><row r="557"><cell r="A557" t="str"><v>OSCSPX</v></cell><cell r="B557" t="str"><v>Oscillatoria sp.</v></cell><cell r="C557"><v>11</v></cell><cell r="D557"><v>1</v></cell><cell r="E557" t="str"><v>Vaucher      </v></cell></row><row r="557"><cell r="M557" t="str"><v>ALG</v></cell><cell r="N557"><v>2</v></cell></row><row r="557"><cell r="P557" t="str"><v>IBMR</v></cell></row><row r="557"><cell r="S557"><v>118</v></cell></row><row r="558"><cell r="A558" t="str"><v>OSMREG</v></cell><cell r="B558" t="str"><v>Osmunda regalis</v></cell></row><row r="558"><cell r="E558" t="str"><v>      </v></cell></row><row r="558"><cell r="M558" t="str"><v>PTE</v></cell><cell r="N558"><v>6</v></cell></row><row r="558"><cell r="S558"><v>143</v></cell></row><row r="559"><cell r="A559" t="str"><v>OTTALI</v></cell><cell r="B559" t="str"><v>Ottelia alismoides</v></cell></row><row r="559"><cell r="E559" t="str"><v>      </v></cell></row><row r="559"><cell r="M559" t="str"><v>PHx</v></cell><cell r="N559"><v>1</v></cell></row><row r="559"><cell r="Q559" t="str"><v>MONOCOT</v></cell></row><row r="559"><cell r="S559"><v>1991</v></cell></row><row r="560"><cell r="A560" t="str"><v>OXAACE</v></cell><cell r="B560" t="str"><v>Oxalis acetosella</v></cell></row><row r="560"><cell r="E560" t="str"><v>L.      </v></cell></row><row r="560"><cell r="M560" t="str"><v>PHx</v></cell><cell r="N560"><v>1</v></cell><cell r="O560" t="str"><v>NA</v></cell></row><row r="560"><cell r="Q560" t="str"><v>DICOT</v></cell></row><row r="560"><cell r="S560"><v>1992</v></cell></row><row r="561"><cell r="A561" t="str"><v>PASDIL</v></cell><cell r="B561" t="str"><v>Paspalum dilatatum</v></cell></row><row r="561"><cell r="E561" t="str"><v>      </v></cell></row><row r="561"><cell r="M561" t="str"><v>PHg</v></cell><cell r="N561"><v>9</v></cell><cell r="O561" t="str"><v>HYG</v></cell></row><row r="561"><cell r="Q561" t="str"><v>MONOCOT</v></cell></row><row r="561"><cell r="S561"><v>1234</v></cell></row><row r="562"><cell r="A562" t="str"><v>PASPAS</v></cell><cell r="B562" t="str"><v>Paspalum paspaloides</v></cell></row><row r="562"><cell r="E562" t="str"><v>      </v></cell></row><row r="562"><cell r="M562" t="str"><v>PHg</v></cell><cell r="N562"><v>9</v></cell><cell r="O562" t="str"><v>HYG</v></cell></row><row r="562"><cell r="Q562" t="str"><v>MONOCOT</v></cell></row><row r="562"><cell r="S562"><v>1575</v></cell></row><row r="563"><cell r="A563" t="str"><v>PASURV</v></cell><cell r="B563" t="str"><v>Paspalum urvillei</v></cell></row><row r="563"><cell r="E563" t="str"><v>      </v></cell></row><row r="563"><cell r="M563" t="str"><v>PHg</v></cell><cell r="N563"><v>9</v></cell><cell r="O563" t="str"><v>HYG</v></cell></row><row r="563"><cell r="Q563" t="str"><v>MONOCOT</v></cell></row><row r="563"><cell r="S563"><v>1995</v></cell></row><row r="564"><cell r="A564" t="str"><v>PASVAG</v></cell><cell r="B564" t="str"><v>Paspalum vaginatum</v></cell></row><row r="564"><cell r="E564" t="str"><v>      </v></cell></row><row r="564"><cell r="M564" t="str"><v>PHg</v></cell><cell r="N564"><v>9</v></cell><cell r="O564" t="str"><v>HYG</v></cell></row><row r="564"><cell r="Q564" t="str"><v>MONOCOT</v></cell></row><row r="564"><cell r="S564"><v>1996</v></cell></row><row r="565"><cell r="A565" t="str"><v>PELEND</v></cell><cell r="B565" t="str"><v>Pellia endiviifolia</v></cell></row><row r="565"><cell r="E565" t="str"><v>(Dicks) Dumort.     </v></cell><cell r="F565" t="str"><v>Pellia fabbroniana auct.</v></cell><cell r="G565" t="str"><v>Jungermannia endiviifolia Dicks.</v></cell></row><row r="565"><cell r="M565" t="str"><v>BRh</v></cell><cell r="N565"><v>4</v></cell></row><row r="565"><cell r="S565"><v>1197</v></cell></row><row r="566"><cell r="A566" t="str"><v>PELEPI</v></cell><cell r="B566" t="str"><v>Pellia epiphylla</v></cell></row><row r="566"><cell r="E566" t="str"><v>(L.) Corda     </v></cell><cell r="F566" t="str"><v>Jungermannia epiphylla L.</v></cell><cell r="G566" t="str"><v>Pellia borealis Lorb.</v></cell></row><row r="566"><cell r="M566" t="str"><v>BRh</v></cell><cell r="N566"><v>4</v></cell></row><row r="566"><cell r="S566"><v>1198</v></cell></row><row r="567"><cell r="A567" t="str"><v>PELNEE</v></cell><cell r="B567" t="str"><v>Pellia neesiana</v></cell></row><row r="567"><cell r="E567" t="str"><v>(Gottsche) Limpr.     </v></cell><cell r="F567" t="str"><v>Pellia epiphylla fo. neesiana Gottsche</v></cell></row><row r="567"><cell r="M567" t="str"><v>BRh</v></cell><cell r="N567"><v>4</v></cell></row><row r="567"><cell r="S567"><v>12</v></cell></row><row r="568"><cell r="A568" t="str"><v>PELSPX</v></cell><cell r="B568" t="str"><v>Pellia sp.</v></cell></row><row r="568"><cell r="E568" t="str"><v>Raddi</v></cell></row><row r="568"><cell r="M568" t="str"><v>BRh</v></cell><cell r="N568"><v>4</v></cell></row><row r="568"><cell r="S568"><v>1196</v></cell></row><row r="569"><cell r="A569" t="str"><v>PETHYB</v></cell><cell r="B569" t="str"><v>Petasites hybridus</v></cell></row><row r="569"><cell r="E569" t="str"><v>(L.) Gaertn.,Mey. & Scherb.   </v></cell></row><row r="569"><cell r="M569" t="str"><v>PHg</v></cell><cell r="N569"><v>9</v></cell><cell r="O569" t="str"><v>HYG</v></cell></row><row r="569"><cell r="Q569" t="str"><v>DICOT</v></cell></row><row r="569"><cell r="S569"><v>1745</v></cell></row><row r="570"><cell r="A570" t="str"><v>PEUPAL</v></cell><cell r="B570" t="str"><v>Peucedanum palustre</v></cell></row><row r="570"><cell r="E570" t="str"><v>(L.) Moench     </v></cell></row><row r="570"><cell r="M570" t="str"><v>PHg</v></cell><cell r="N570"><v>9</v></cell><cell r="O570" t="str"><v>HYG/HEL</v></cell></row><row r="570"><cell r="Q570" t="str"><v>DICOT</v></cell></row><row r="570"><cell r="S570"><v>1994</v></cell></row><row r="571"><cell r="A571" t="str"><v>PHAARU</v></cell><cell r="B571" t="str"><v>Phalaris arundinacea</v></cell><cell r="C571"><v>10</v></cell><cell r="D571"><v>1</v></cell><cell r="E571" t="str"><v>L.      </v></cell></row><row r="571"><cell r="M571" t="str"><v>PHe</v></cell><cell r="N571"><v>8</v></cell><cell r="O571" t="str"><v>HYD/HEL</v></cell><cell r="P571" t="str"><v>IBMR</v></cell><cell r="Q571" t="str"><v>MONOCOT</v></cell></row><row r="571"><cell r="S571"><v>1577</v></cell></row><row r="572"><cell r="A572" t="str"><v>PHCDIG</v></cell><cell r="B572" t="str"><v>Phacelurus digitatus</v></cell></row><row r="572"><cell r="E572" t="str"><v>      </v></cell></row><row r="572"><cell r="M572" t="str"><v>PHx</v></cell><cell r="N572"><v>1</v></cell></row><row r="572"><cell r="Q572" t="str"><v>MONOCOT</v></cell></row><row r="572"><cell r="S572"><v>1998</v></cell></row><row r="573"><cell r="A573" t="str"><v>PHICAL</v></cell><cell r="B573" t="str"><v>Philonotis calcarea</v></cell><cell r="C573"><v>18</v></cell><cell r="D573"><v>2</v></cell><cell r="E573" t="str"><v>(B. & S.) Schimp.    </v></cell><cell r="F573" t="str"><v>Bartramia calcarea B.E.</v></cell></row><row r="573"><cell r="M573" t="str"><v>BRm</v></cell><cell r="N573"><v>5</v></cell></row><row r="573"><cell r="P573" t="str"><v>IBMR</v></cell></row><row r="573"><cell r="S573"><v>979</v></cell></row><row r="574"><cell r="A574" t="str"><v>PHIFON</v></cell><cell r="B574" t="str"><v>Philonotis gr. fontana</v></cell><cell r="C574"><v>18</v></cell><cell r="D574"><v>3</v></cell><cell r="E574" t="str"><v>(Hedw.) Brid.</v></cell><cell r="F574" t="str"><v>Philonotis seriata Mitt.</v></cell><cell r="G574" t="str"><v>Philonotis arnellii Husn.</v></cell><cell r="H574" t="str"><v>Philonotis caespitosa Jur.</v></cell><cell r="I574" t="str"><v>Philonotis marchica (Hedw.) Brid.  </v></cell><cell r="J574" t="str"><v>Philonotis rigida Brid.  </v></cell></row><row r="574"><cell r="M574" t="str"><v>BRm</v></cell><cell r="N574"><v>5</v></cell></row><row r="574"><cell r="P574" t="str"><v>IBMR</v></cell></row><row r="574"><cell r="S574"><v>1999</v></cell></row><row r="575"><cell r="A575" t="str"><v>PHISPX</v></cell><cell r="B575" t="str"><v>Philonotis sp.</v></cell></row><row r="575"><cell r="E575" t="str"><v>Brid.</v></cell></row><row r="575"><cell r="M575" t="str"><v>BRm</v></cell><cell r="N575"><v>5</v></cell></row><row r="575"><cell r="S575"><v>1253</v></cell></row><row r="576"><cell r="A576" t="str"><v>PHOSPX</v></cell><cell r="B576" t="str"><v>Phormidium sp.</v></cell><cell r="C576"><v>13</v></cell><cell r="D576"><v>2</v></cell><cell r="E576" t="str"><v>Kützing      </v></cell></row><row r="576"><cell r="M576" t="str"><v>ALG</v></cell><cell r="N576"><v>2</v></cell></row><row r="576"><cell r="P576" t="str"><v>IBMR</v></cell></row><row r="576"><cell r="S576"><v>6414</v></cell></row><row r="577"><cell r="A577" t="str"><v>PHRAUS</v></cell><cell r="B577" t="str"><v>Phragmites australis</v></cell><cell r="C577"><v>9</v></cell><cell r="D577"><v>2</v></cell><cell r="E577" t="str"><v>Cav. Trin. Ex Steud   </v></cell><cell r="F577" t="str"><v>Phragmites communis Trin.</v></cell></row><row r="577"><cell r="M577" t="str"><v>PHe</v></cell><cell r="N577"><v>8</v></cell><cell r="O577" t="str"><v>HEL</v></cell><cell r="P577" t="str"><v>IBMR</v></cell><cell r="Q577" t="str"><v>MONOCOT</v></cell></row><row r="577"><cell r="S577"><v>1579</v></cell></row><row r="578"><cell r="A578" t="str"><v>PILGLO</v></cell><cell r="B578" t="str"><v>Pilularia globulifera</v></cell></row><row r="578"><cell r="E578" t="str"><v>L.      </v></cell></row><row r="578"><cell r="M578" t="str"><v>PTE</v></cell><cell r="N578"><v>6</v></cell></row><row r="578"><cell r="S578"><v>1395</v></cell></row><row r="579"><cell r="A579" t="str"><v>PILMIN</v></cell><cell r="B579" t="str"><v>Pilularia minuta</v></cell></row><row r="579"><cell r="E579" t="str"><v>      </v></cell></row><row r="579"><cell r="M579" t="str"><v>PTE</v></cell><cell r="N579"><v>6</v></cell></row><row r="579"><cell r="S579"><v>19912</v></cell></row><row r="580"><cell r="A580" t="str"><v>PISSTR</v></cell><cell r="B580" t="str"><v>Pistia stratiotes</v></cell></row><row r="580"><cell r="E580" t="str"><v>L.      </v></cell></row><row r="580"><cell r="M580" t="str"><v>PHy</v></cell><cell r="N580"><v>7</v></cell><cell r="O580" t="str"><v>HYD</v></cell></row><row r="580"><cell r="Q580" t="str"><v>MONOCOT</v></cell></row><row r="580"><cell r="S580"><v>19913</v></cell></row><row r="581"><cell r="A581" t="str"><v>PLADEN</v></cell><cell r="B581" t="str"><v>Plagiothecium denticulatum</v></cell></row><row r="581"><cell r="E581" t="str"><v>(Hedw.) B., S. & G.  </v></cell><cell r="F581" t="str"><v>Plagiothecium donnianum (Sm.) Mitt.</v></cell></row><row r="581"><cell r="M581" t="str"><v>BRm</v></cell><cell r="N581"><v>5</v></cell></row><row r="581"><cell r="S581"><v>19922</v></cell></row><row r="582"><cell r="A582" t="str"><v>PLANEM</v></cell><cell r="B582" t="str"><v>Plagiothecium nemorale</v></cell></row><row r="582"><cell r="E582" t="str"><v>(Mitt.) Jaeg.     </v></cell><cell r="F582" t="str"><v>Plagiothecium sylvaticum auct.</v></cell><cell r="G582" t="str"><v>Plagiothecium neglectum Mönk.</v></cell></row><row r="582"><cell r="M582" t="str"><v>BRm</v></cell><cell r="N582"><v>5</v></cell></row><row r="582"><cell r="S582"><v>1355</v></cell></row><row r="583"><cell r="A583" t="str"><v>PLAPLA</v></cell><cell r="B583" t="str"><v>Plagiothecium platyphyllum</v></cell></row><row r="583"><cell r="E583" t="str"><v>Mönk.      </v></cell></row><row r="583"><cell r="M583" t="str"><v>BRm</v></cell><cell r="N583"><v>5</v></cell></row><row r="583"><cell r="S583"><v>19923</v></cell></row><row r="584"><cell r="A584" t="str"><v>PLASPX</v></cell><cell r="B584" t="str"><v>Plagiothecium sp.</v></cell></row><row r="584"><cell r="E584" t="str"><v>B., S. & G.</v></cell></row><row r="584"><cell r="M584" t="str"><v>BRm</v></cell><cell r="N584"><v>5</v></cell></row><row r="584"><cell r="S584"><v>1354</v></cell></row><row r="585"><cell r="A585" t="str"><v>PLAUND</v></cell><cell r="B585" t="str"><v>Plagiothecium undulatum</v></cell></row><row r="585"><cell r="E585" t="str"><v>(Hedw.) B., S. & G.  </v></cell></row><row r="585"><cell r="M585" t="str"><v>BRm</v></cell><cell r="N585"><v>5</v></cell></row><row r="585"><cell r="S585"><v>19925</v></cell></row><row r="586"><cell r="A586" t="str"><v>PLESPX</v></cell><cell r="B586" t="str"><v>Plectonema sp.</v></cell></row><row r="586"><cell r="E586" t="str"><v>Thuret      </v></cell></row><row r="586"><cell r="M586" t="str"><v>ALG</v></cell><cell r="N586"><v>2</v></cell></row><row r="586"><cell r="S586"><v>1113</v></cell></row><row r="587"><cell r="A587" t="str"><v>PLGASP</v></cell><cell r="B587" t="str"><v>Plagiochila asplenioides</v></cell></row><row r="587"><cell r="E587" t="str"><v>(L. emend. Taylor) Dumort.     </v></cell><cell r="F587" t="str"><v>Plagiochila asplenioides var. major Lindenb.</v></cell><cell r="G587" t="str"><v>Plagiochila major (L.) S.W. Arnell</v></cell><cell r="H587" t="str"><v>Jungermannia asplenioides L.</v></cell></row><row r="587"><cell r="M587" t="str"><v>BRh</v></cell><cell r="N587"><v>4</v></cell></row><row r="587"><cell r="S587"><v>19914</v></cell></row><row r="588"><cell r="A588" t="str"><v>PLGSPX</v></cell><cell r="B588" t="str"><v>Plagiochila sp.</v></cell></row><row r="588"><cell r="E588" t="str"><v>Dumort.</v></cell></row><row r="588"><cell r="M588" t="str"><v>BRh</v></cell><cell r="N588"><v>4</v></cell></row><row r="588"><cell r="S588"><v>19915</v></cell></row><row r="589"><cell r="A589" t="str"><v>PLIAFF</v></cell><cell r="B589" t="str"><v>Plagiomnium affine</v></cell></row><row r="589"><cell r="E589" t="str"><v>(Bland.) T. Kop.    </v></cell><cell r="F589" t="str"><v>Mnium affine Bland.  </v></cell></row><row r="589"><cell r="M589" t="str"><v>BRm</v></cell><cell r="N589"><v>5</v></cell></row><row r="589"><cell r="S589"><v>19916</v></cell></row><row r="590"><cell r="A590" t="str"><v>PLIMED</v></cell><cell r="B590" t="str"><v>Plagiomnium medium</v></cell></row><row r="590"><cell r="E590" t="str"><v>(B. & S.) T. Kop.    </v></cell><cell r="F590" t="str"><v>Mnium medium B. & S.   </v></cell></row><row r="590"><cell r="M590" t="str"><v>BRm</v></cell><cell r="N590"><v>5</v></cell></row><row r="590"><cell r="S590"><v>19918</v></cell></row><row r="591"><cell r="A591" t="str"><v>PLIROS</v></cell><cell r="B591" t="str"><v>Plagiomnium rostratum</v></cell></row><row r="591"><cell r="E591" t="str"><v>(Schrad.) T. Kop.    </v></cell><cell r="F591" t="str"><v>Mnium rostratum Schrad.</v></cell><cell r="G591" t="str"><v>Mnium longirostre Brid.</v></cell></row><row r="591"><cell r="M591" t="str"><v>BRm</v></cell><cell r="N591"><v>5</v></cell></row><row r="591"><cell r="S591"><v>19919</v></cell></row><row r="592"><cell r="A592" t="str"><v>PLISPX</v></cell><cell r="B592" t="str"><v>Plagiomnium sp.</v></cell></row><row r="592"><cell r="E592" t="str"><v>T. Kop.    </v></cell></row><row r="592"><cell r="M592" t="str"><v>BRm</v></cell><cell r="N592"><v>5</v></cell></row><row r="592"><cell r="S592"><v>1992</v></cell></row><row r="593"><cell r="A593" t="str"><v>PLIUND</v></cell><cell r="B593" t="str"><v>Plagiomnium undulatum</v></cell></row><row r="593"><cell r="E593" t="str"><v>(Hedw.) T. Kop.    </v></cell><cell r="F593" t="str"><v>Mnium undulatum Hedw.       </v></cell></row><row r="593"><cell r="M593" t="str"><v>BRm</v></cell><cell r="N593"><v>5</v></cell></row><row r="593"><cell r="S593"><v>19921</v></cell></row><row r="594"><cell r="A594" t="str"><v>PLUSAB</v></cell><cell r="B594" t="str"><v>Pleuropogon sabinei</v></cell></row><row r="594"><cell r="E594" t="str"><v>      </v></cell></row><row r="594"><cell r="M594" t="str"><v>PHx</v></cell><cell r="N594"><v>1</v></cell></row><row r="594"><cell r="Q594" t="str"><v>MONOCOT</v></cell></row><row r="594"><cell r="S594"><v>19927</v></cell></row><row r="595"><cell r="A595" t="str"><v>POAANN</v></cell><cell r="B595" t="str"><v>Poa annua</v></cell></row><row r="595"><cell r="E595" t="str"><v>L.      </v></cell></row><row r="595"><cell r="M595" t="str"><v>PHg</v></cell><cell r="N595"><v>9</v></cell><cell r="O595" t="str"><v>HYG</v></cell></row><row r="595"><cell r="Q595" t="str"><v>MONOCOT</v></cell></row><row r="595"><cell r="S595"><v>1581</v></cell></row><row r="596"><cell r="A596" t="str"><v>POAPAL</v></cell><cell r="B596" t="str"><v>Poa palustris</v></cell></row><row r="596"><cell r="E596" t="str"><v>L.      </v></cell></row><row r="596"><cell r="M596" t="str"><v>PHg</v></cell><cell r="N596"><v>9</v></cell><cell r="O596" t="str"><v>HYG</v></cell></row><row r="596"><cell r="Q596" t="str"><v>MONOCOT</v></cell></row><row r="596"><cell r="S596"><v>1582</v></cell></row><row r="597"><cell r="A597" t="str"><v>POAPRA</v></cell><cell r="B597" t="str"><v>Poa pratensis</v></cell></row><row r="597"><cell r="E597" t="str"><v>L.      </v></cell></row><row r="597"><cell r="M597" t="str"><v>PHg</v></cell><cell r="N597"><v>9</v></cell><cell r="O597" t="str"><v>HYG</v></cell></row><row r="597"><cell r="Q597" t="str"><v>MONOCOT</v></cell></row><row r="597"><cell r="S597"><v>19928</v></cell></row><row r="598"><cell r="A598" t="str"><v>POASPX</v></cell><cell r="B598" t="str"><v>Poa sp.</v></cell></row><row r="598"><cell r="E598" t="str"><v>      </v></cell></row><row r="598"><cell r="M598" t="str"><v>PHg</v></cell><cell r="N598"><v>9</v></cell><cell r="O598" t="str"><v>HYG</v></cell></row><row r="598"><cell r="Q598" t="str"><v>MONOCOT</v></cell></row><row r="598"><cell r="S598"><v>158</v></cell></row><row r="599"><cell r="A599" t="str"><v>POATRI</v></cell><cell r="B599" t="str"><v>Poa trivialis</v></cell></row><row r="599"><cell r="E599" t="str"><v>L.      </v></cell></row><row r="599"><cell r="M599" t="str"><v>PHg</v></cell><cell r="N599"><v>9</v></cell><cell r="O599" t="str"><v>HYG</v></cell></row><row r="599"><cell r="Q599" t="str"><v>MONOCOT</v></cell></row><row r="599"><cell r="S599"><v>1583</v></cell></row><row r="600"><cell r="A600" t="str"><v>POEANS</v></cell><cell r="B600" t="str"><v>Potentiella anserina</v></cell></row><row r="600"><cell r="E600" t="str"><v>(L.)      </v></cell></row><row r="600"><cell r="M600" t="str"><v>PHg</v></cell><cell r="N600"><v>9</v></cell><cell r="O600" t="str"><v>HYG</v></cell></row><row r="600"><cell r="Q600" t="str"><v>DICOT</v></cell></row><row r="600"><cell r="S600"><v>1921</v></cell></row><row r="601"><cell r="A601" t="str"><v>POEERE</v></cell><cell r="B601" t="str"><v>Potentilla erecta</v></cell></row><row r="601"><cell r="E601" t="str"><v>(L.) Räuschel     </v></cell></row><row r="601"><cell r="M601" t="str"><v>PHg</v></cell><cell r="N601"><v>9</v></cell><cell r="O601" t="str"><v>HYG</v></cell></row><row r="601"><cell r="Q601" t="str"><v>DICOT</v></cell></row><row r="601"><cell r="S601"><v>1922</v></cell></row><row r="602"><cell r="A602" t="str"><v>POEPAL</v></cell><cell r="B602" t="str"><v>Potentilla palustris</v></cell><cell r="C602"><v>16</v></cell><cell r="D602"><v>3</v></cell><cell r="E602" t="str"><v>(L.) Scop.     </v></cell></row><row r="602"><cell r="M602" t="str"><v>PHe</v></cell><cell r="N602"><v>8</v></cell><cell r="O602" t="str"><v>HEL</v></cell><cell r="P602" t="str"><v>IBMR</v></cell><cell r="Q602" t="str"><v>DICOT</v></cell></row><row r="602"><cell r="S602"><v>1923</v></cell></row><row r="603"><cell r="A603" t="str"><v>POESPX</v></cell><cell r="B603" t="str"><v>Potentilla sp.</v></cell></row><row r="603"><cell r="E603" t="str"><v>      </v></cell></row><row r="603"><cell r="M603" t="str"><v>PHe</v></cell><cell r="N603"><v>8</v></cell><cell r="O603" t="str"><v>HEL</v></cell></row><row r="603"><cell r="Q603" t="str"><v>DICOT</v></cell></row><row r="603"><cell r="S603"><v>192</v></cell></row><row r="604"><cell r="A604" t="str"><v>POLAMP</v></cell><cell r="B604" t="str"><v>Polygonum amphibium</v></cell><cell r="C604"><v>9</v></cell><cell r="D604"><v>2</v></cell><cell r="E604" t="str"><v>L.      </v></cell><cell r="F604" t="str"><v>Persicaria amphibia L. Gray</v></cell></row><row r="604"><cell r="M604" t="str"><v>PHe</v></cell><cell r="N604"><v>8</v></cell><cell r="O604" t="str"><v>HYD/HEL</v></cell><cell r="P604" t="str"><v>IBMR</v></cell><cell r="Q604" t="str"><v>DICOT</v></cell></row><row r="604"><cell r="S604"><v>1864</v></cell></row><row r="605"><cell r="A605" t="str"><v>POLFOL</v></cell><cell r="B605" t="str"><v>Polygonum foliosa</v></cell></row><row r="605"><cell r="E605" t="str"><v>      </v></cell><cell r="F605" t="str"><v>Persicaria foliosa</v></cell></row><row r="605"><cell r="M605" t="str"><v>PHg</v></cell><cell r="N605"><v>9</v></cell><cell r="O605" t="str"><v>HYG</v></cell></row><row r="605"><cell r="Q605" t="str"><v>DICOT</v></cell></row><row r="605"><cell r="S605"><v>1993</v></cell></row><row r="606"><cell r="A606" t="str"><v>POLHYD</v></cell><cell r="B606" t="str"><v>Polygonum hydropiper</v></cell><cell r="C606"><v>8</v></cell><cell r="D606"><v>2</v></cell><cell r="E606" t="str"><v>L. fo. Aq.    </v></cell><cell r="F606" t="str"><v>Persicaria hydropiper L. Delarbe</v></cell></row><row r="606"><cell r="M606" t="str"><v>PHe</v></cell><cell r="N606"><v>8</v></cell><cell r="O606" t="str"><v>HEL</v></cell><cell r="P606" t="str"><v>IBMR</v></cell><cell r="Q606" t="str"><v>DICOT</v></cell></row><row r="606"><cell r="S606"><v>1865</v></cell></row><row r="607"><cell r="A607" t="str"><v>POLLAP</v></cell><cell r="B607" t="str"><v>Polygonum lapathifolia</v></cell></row><row r="607"><cell r="E607" t="str"><v>      </v></cell><cell r="F607" t="str"><v>Persicaria lapathifolia L. Gray</v></cell></row><row r="607"><cell r="M607" t="str"><v>PHg</v></cell><cell r="N607"><v>9</v></cell><cell r="O607" t="str"><v>HYG</v></cell></row><row r="607"><cell r="Q607" t="str"><v>DICOT</v></cell></row><row r="607"><cell r="S607"><v>1866</v></cell></row><row r="608"><cell r="A608" t="str"><v>POLMAC</v></cell><cell r="B608" t="str"><v>Polygonum maculosa</v></cell></row><row r="608"><cell r="E608" t="str"><v>      </v></cell><cell r="F608" t="str"><v>Persicaria maculosa</v></cell></row><row r="608"><cell r="M608" t="str"><v>PHg</v></cell><cell r="N608"><v>9</v></cell><cell r="O608" t="str"><v>HYG</v></cell></row><row r="608"><cell r="Q608" t="str"><v>DICOT</v></cell></row><row r="608"><cell r="S608"><v>357</v></cell></row><row r="609"><cell r="A609" t="str"><v>POLMIT</v></cell><cell r="B609" t="str"><v>Polygonum mite</v></cell></row><row r="609"><cell r="E609" t="str"><v>Schrank      </v></cell><cell r="F609" t="str"><v>Persicaria mitis Schrank</v></cell></row><row r="609"><cell r="M609" t="str"><v>PHg</v></cell><cell r="N609"><v>9</v></cell><cell r="O609" t="str"><v>HYG</v></cell></row><row r="609"><cell r="Q609" t="str"><v>DICOT</v></cell></row><row r="609"><cell r="S609"><v>1868</v></cell></row><row r="610"><cell r="A610" t="str"><v>POLSPX</v></cell><cell r="B610" t="str"><v>Polygonum sp.</v></cell></row><row r="610"><cell r="E610" t="str"><v>      </v></cell><cell r="F610" t="str"><v>Persicaria sp.</v></cell></row><row r="610"><cell r="M610" t="str"><v>PHg</v></cell><cell r="N610"><v>9</v></cell><cell r="O610" t="str"><v>HYG</v></cell></row><row r="610"><cell r="Q610" t="str"><v>DICOT</v></cell></row><row r="610"><cell r="S610"><v>1863</v></cell></row><row r="611"><cell r="A611" t="str"><v>PONCOR</v></cell><cell r="B611" t="str"><v>Pontederia cordata</v></cell></row><row r="611"><cell r="E611" t="str"><v>      </v></cell></row><row r="611"><cell r="M611" t="str"><v>PHy</v></cell><cell r="N611"><v>7</v></cell><cell r="O611" t="str"><v>HYD</v></cell></row><row r="611"><cell r="Q611" t="str"><v>MONOCOT</v></cell></row><row r="611"><cell r="S611"><v>19931</v></cell></row><row r="612"><cell r="A612" t="str"><v>PORCOR</v></cell><cell r="B612" t="str"><v>Porella cordaeana</v></cell></row><row r="612"><cell r="E612" t="str"><v>(Huebener) Moore</v></cell><cell r="F612" t="str"><v>Porella denta Lindberg</v></cell><cell r="G612" t="str"><v>Porella rivularis Nees</v></cell><cell r="H612" t="str"><v>Porella cordaeana var. simplicior (Zett.) Lindb.</v></cell><cell r="I612" t="str"><v>Madotheca cordaeana (Huebener) Dumort.</v></cell><cell r="J612" t="str"><v>Madotheca rivularis Nees</v></cell><cell r="K612" t="str"><v>Jungermannia cordaeana Huebener</v></cell></row><row r="612"><cell r="M612" t="str"><v>BRh</v></cell><cell r="N612"><v>4</v></cell></row><row r="612"><cell r="S612"><v>19932</v></cell></row><row r="613"><cell r="A613" t="str"><v>PORPIN</v></cell><cell r="B613" t="str"><v>Porella pinnata</v></cell><cell r="C613"><v>12</v></cell><cell r="D613"><v>2</v></cell><cell r="E613" t="str"><v>L.     </v></cell><cell r="F613" t="str"><v>Madotheca porella (Dicks.) Nees</v></cell><cell r="G613" t="str"><v>Jungermannia porella Dicks.</v></cell></row><row r="613"><cell r="M613" t="str"><v>BRh</v></cell><cell r="N613"><v>4</v></cell></row><row r="613"><cell r="P613" t="str"><v>IBMR</v></cell></row><row r="613"><cell r="S613"><v>9788</v></cell></row><row r="614"><cell r="A614" t="str"><v>PORSPX</v></cell><cell r="B614" t="str"><v>Porella sp.</v></cell></row><row r="614"><cell r="E614" t="str"><v>L.     </v></cell></row><row r="614"><cell r="M614" t="str"><v>BRh</v></cell><cell r="N614"><v>4</v></cell></row><row r="614"><cell r="S614"><v>124</v></cell></row><row r="615"><cell r="A615" t="str"><v>POTACU</v></cell><cell r="B615" t="str"><v>Potamogeton acutifolius</v></cell><cell r="C615"><v>12</v></cell><cell r="D615"><v>3</v></cell><cell r="E615" t="str"><v>Link      </v></cell></row><row r="615"><cell r="M615" t="str"><v>PHy</v></cell><cell r="N615"><v>7</v></cell><cell r="O615" t="str"><v>HYD</v></cell><cell r="P615" t="str"><v>IBMR</v></cell><cell r="Q615" t="str"><v>MONOCOT</v></cell></row><row r="615"><cell r="S615"><v>164</v></cell></row><row r="616"><cell r="A616" t="str"><v>POTALP</v></cell><cell r="B616" t="str"><v>Potamogeton alpinus</v></cell><cell r="C616"><v>13</v></cell><cell r="D616"><v>2</v></cell><cell r="E616" t="str"><v>Balbis      </v></cell></row><row r="616"><cell r="M616" t="str"><v>PHy</v></cell><cell r="N616"><v>7</v></cell><cell r="O616" t="str"><v>HYD</v></cell><cell r="P616" t="str"><v>IBMR</v></cell><cell r="Q616" t="str"><v>MONOCOT</v></cell></row><row r="616"><cell r="S616"><v>1641</v></cell></row><row r="617"><cell r="A617" t="str"><v>POTANG</v></cell><cell r="B617" t="str"><v>Potamogeton x angustifolius</v></cell></row><row r="617"><cell r="E617" t="str"><v>J. S. Presl    </v></cell></row><row r="617"><cell r="M617" t="str"><v>PHy</v></cell><cell r="N617"><v>7</v></cell><cell r="O617" t="str"><v>HYD</v></cell></row><row r="617"><cell r="Q617" t="str"><v>MONOCOT</v></cell></row><row r="617"><cell r="S617"><v>19943</v></cell></row><row r="618"><cell r="A618" t="str"><v>POTBEN</v></cell><cell r="B618" t="str"><v>Potamogeton x bennettii</v></cell></row><row r="618"><cell r="E618" t="str"><v>      </v></cell></row><row r="618"><cell r="M618" t="str"><v>PHy</v></cell><cell r="N618"><v>7</v></cell><cell r="O618" t="str"><v>HYD</v></cell></row><row r="618"><cell r="Q618" t="str"><v>MONOCOT</v></cell></row><row r="618"><cell r="S618"><v>19944</v></cell></row><row r="619"><cell r="A619" t="str"><v>POTBER</v></cell><cell r="B619" t="str"><v>Potamogeton berchtoldii</v></cell><cell r="C619"><v>9</v></cell><cell r="D619"><v>2</v></cell><cell r="E619" t="str"><v>Fieber      </v></cell></row><row r="619"><cell r="M619" t="str"><v>PHy</v></cell><cell r="N619"><v>7</v></cell><cell r="O619" t="str"><v>HYD</v></cell><cell r="P619" t="str"><v>IBMR</v></cell><cell r="Q619" t="str"><v>MONOCOT</v></cell></row><row r="619"><cell r="S619"><v>1642</v></cell></row><row r="620"><cell r="A620" t="str"><v>POTBOT</v></cell><cell r="B620" t="str"><v>Potamogeton x bottnicus</v></cell></row><row r="620"><cell r="E620" t="str"><v>      </v></cell></row><row r="620"><cell r="M620" t="str"><v>PHy</v></cell><cell r="N620"><v>7</v></cell><cell r="O620" t="str"><v>HYD</v></cell></row><row r="620"><cell r="Q620" t="str"><v>MONOCOT</v></cell></row><row r="620"><cell r="S620"><v>19945</v></cell></row><row r="621"><cell r="A621" t="str"><v>POTCOG</v></cell><cell r="B621" t="str"><v>Potamogeton x cognatus</v></cell></row><row r="621"><cell r="E621" t="str"><v>      </v></cell></row><row r="621"><cell r="M621" t="str"><v>PHy</v></cell><cell r="N621"><v>7</v></cell><cell r="O621" t="str"><v>HYD</v></cell></row><row r="621"><cell r="Q621" t="str"><v>MONOCOT</v></cell></row><row r="621"><cell r="S621"><v>19946</v></cell></row><row r="622"><cell r="A622" t="str"><v>POTCOL</v></cell><cell r="B622" t="str"><v>Potamogeton coloratus</v></cell><cell r="C622"><v>20</v></cell><cell r="D622"><v>3</v></cell><cell r="E622" t="str"><v>Hornem.      </v></cell></row><row r="622"><cell r="M622" t="str"><v>PHy</v></cell><cell r="N622"><v>7</v></cell><cell r="O622" t="str"><v>HYD</v></cell><cell r="P622" t="str"><v>IBMR</v></cell><cell r="Q622" t="str"><v>MONOCOT</v></cell></row><row r="622"><cell r="S622"><v>1643</v></cell></row><row r="623"><cell r="A623" t="str"><v>POTCOM</v></cell><cell r="B623" t="str"><v>Potamogeton compressus</v></cell><cell r="C623"><v>6</v></cell><cell r="D623"><v>3</v></cell><cell r="E623" t="str"><v>L.      </v></cell></row><row r="623"><cell r="M623" t="str"><v>PHy</v></cell><cell r="N623"><v>7</v></cell><cell r="O623" t="str"><v>HYD</v></cell><cell r="P623" t="str"><v>IBMR</v></cell><cell r="Q623" t="str"><v>MONOCOT</v></cell></row><row r="623"><cell r="S623"><v>1644</v></cell></row><row r="624"><cell r="A624" t="str"><v>POTCOO</v></cell><cell r="B624" t="str"><v>Potamogeton x cooperi</v></cell></row><row r="624"><cell r="E624" t="str"><v>      </v></cell></row><row r="624"><cell r="M624" t="str"><v>PHy</v></cell><cell r="N624"><v>7</v></cell><cell r="O624" t="str"><v>HYD</v></cell></row><row r="624"><cell r="Q624" t="str"><v>MONOCOT</v></cell></row><row r="624"><cell r="S624"><v>19947</v></cell></row><row r="625"><cell r="A625" t="str"><v>POTCRI</v></cell><cell r="B625" t="str"><v>Potamogeton crispus</v></cell><cell r="C625"><v>7</v></cell><cell r="D625"><v>2</v></cell><cell r="E625" t="str"><v>L.      </v></cell></row><row r="625"><cell r="M625" t="str"><v>PHy</v></cell><cell r="N625"><v>7</v></cell><cell r="O625" t="str"><v>HYD</v></cell><cell r="P625" t="str"><v>IBMR</v></cell><cell r="Q625" t="str"><v>MONOCOT</v></cell></row><row r="625"><cell r="S625"><v>1645</v></cell></row><row r="626"><cell r="A626" t="str"><v>POTEPI</v></cell><cell r="B626" t="str"><v>Potamogeton epihydrus</v></cell></row><row r="626"><cell r="E626" t="str"><v>      </v></cell></row><row r="626"><cell r="M626" t="str"><v>PHy</v></cell><cell r="N626"><v>7</v></cell><cell r="O626" t="str"><v>HYD</v></cell></row><row r="626"><cell r="Q626" t="str"><v>MONOCOT</v></cell></row><row r="626"><cell r="S626"><v>19933</v></cell></row><row r="627"><cell r="A627" t="str"><v>POTFEN</v></cell><cell r="B627" t="str"><v>Potamogeton x fennicus</v></cell></row><row r="627"><cell r="E627" t="str"><v>      </v></cell></row><row r="627"><cell r="M627" t="str"><v>PHy</v></cell><cell r="N627"><v>7</v></cell><cell r="O627" t="str"><v>HYD</v></cell></row><row r="627"><cell r="Q627" t="str"><v>MONOCOT</v></cell></row><row r="627"><cell r="S627"><v>19948</v></cell></row><row r="628"><cell r="A628" t="str"><v>POTFIL</v></cell><cell r="B628" t="str"><v>Potamogeton filiformis</v></cell></row><row r="628"><cell r="E628" t="str"><v>Pers.      </v></cell></row><row r="628"><cell r="M628" t="str"><v>PHy</v></cell><cell r="N628"><v>7</v></cell><cell r="O628" t="str"><v>HYD</v></cell></row><row r="628"><cell r="Q628" t="str"><v>MONOCOT</v></cell></row><row r="628"><cell r="S628"><v>19934</v></cell></row><row r="629"><cell r="A629" t="str"><v>POTFLU</v></cell><cell r="B629" t="str"><v>Potamogeton x fluitans</v></cell></row><row r="629"><cell r="E629" t="str"><v>      </v></cell></row><row r="629"><cell r="M629" t="str"><v>PHy</v></cell><cell r="N629"><v>7</v></cell><cell r="O629" t="str"><v>HYD</v></cell></row><row r="629"><cell r="Q629" t="str"><v>MONOCOT</v></cell></row><row r="629"><cell r="S629"><v>19949</v></cell></row><row r="630"><cell r="A630" t="str"><v>POTFRI</v></cell><cell r="B630" t="str"><v>Potamogeton friesii</v></cell><cell r="C630"><v>10</v></cell><cell r="D630"><v>1</v></cell><cell r="E630" t="str"><v>Rupr.      </v></cell><cell r="F630" t="str"><v>Potamogeton mucronatus</v></cell></row><row r="630"><cell r="M630" t="str"><v>PHy</v></cell><cell r="N630"><v>7</v></cell><cell r="O630" t="str"><v>HYD</v></cell><cell r="P630" t="str"><v>IBMR</v></cell><cell r="Q630" t="str"><v>MONOCOT</v></cell></row><row r="630"><cell r="S630"><v>1646</v></cell></row><row r="631"><cell r="A631" t="str"><v>POTGES</v></cell><cell r="B631" t="str"><v>Potamogeton x gessnacensis</v></cell></row><row r="631"><cell r="E631" t="str"><v>      </v></cell></row><row r="631"><cell r="M631" t="str"><v>PHy</v></cell><cell r="N631"><v>7</v></cell><cell r="O631" t="str"><v>HYD</v></cell></row><row r="631"><cell r="Q631" t="str"><v>MONOCOT</v></cell></row><row r="631"><cell r="S631"><v>1995</v></cell></row><row r="632"><cell r="A632" t="str"><v>POTGRA</v></cell><cell r="B632" t="str"><v>Potamogeton gramineus</v></cell><cell r="C632"><v>13</v></cell><cell r="D632"><v>2</v></cell><cell r="E632" t="str"><v>L.      </v></cell></row><row r="632"><cell r="M632" t="str"><v>PHy</v></cell><cell r="N632"><v>7</v></cell><cell r="O632" t="str"><v>HYD</v></cell><cell r="P632" t="str"><v>IBMR</v></cell><cell r="Q632" t="str"><v>MONOCOT</v></cell></row><row r="632"><cell r="S632"><v>1647</v></cell></row><row r="633"><cell r="A633" t="str"><v>POTGRI</v></cell><cell r="B633" t="str"><v>Potamogeton x griffithii</v></cell></row><row r="633"><cell r="E633" t="str"><v>      </v></cell></row><row r="633"><cell r="M633" t="str"><v>PHy</v></cell><cell r="N633"><v>7</v></cell><cell r="O633" t="str"><v>HYD</v></cell></row><row r="633"><cell r="Q633" t="str"><v>MONOCOT</v></cell></row><row r="633"><cell r="S633"><v>19951</v></cell></row><row r="634"><cell r="A634" t="str"><v>POTHEL</v></cell><cell r="B634" t="str"><v>Potamogeton helveticus</v></cell></row><row r="634"><cell r="E634" t="str"><v>(G. Fischer) E. Baumann   </v></cell></row><row r="634"><cell r="M634" t="str"><v>PHy</v></cell><cell r="N634"><v>7</v></cell><cell r="O634" t="str"><v>HYD</v></cell></row><row r="634"><cell r="Q634" t="str"><v>MONOCOT</v></cell></row><row r="634"><cell r="S634"><v>1648</v></cell></row><row r="635"><cell r="A635" t="str"><v>POTLIN</v></cell><cell r="B635" t="str"><v>Potamogeton x lintonii</v></cell></row><row r="635"><cell r="E635" t="str"><v>      </v></cell></row><row r="635"><cell r="M635" t="str"><v>PHy</v></cell><cell r="N635"><v>7</v></cell><cell r="O635" t="str"><v>HYD</v></cell></row><row r="635"><cell r="Q635" t="str"><v>MONOCOT</v></cell></row><row r="635"><cell r="S635"><v>19953</v></cell></row><row r="636"><cell r="A636" t="str"><v>POTLUC</v></cell><cell r="B636" t="str"><v>Potamogeton lucens</v></cell><cell r="C636"><v>7</v></cell><cell r="D636"><v>3</v></cell><cell r="E636" t="str"><v>L.      </v></cell></row><row r="636"><cell r="M636" t="str"><v>PHy</v></cell><cell r="N636"><v>7</v></cell><cell r="O636" t="str"><v>HYD</v></cell><cell r="P636" t="str"><v>IBMR</v></cell><cell r="Q636" t="str"><v>MONOCOT</v></cell></row><row r="636"><cell r="S636"><v>1649</v></cell></row><row r="637"><cell r="A637" t="str"><v>POTNAT</v></cell><cell r="B637" t="str"><v>Potamogeton natans</v></cell><cell r="C637"><v>12</v></cell><cell r="D637"><v>1</v></cell><cell r="E637" t="str"><v>L.      </v></cell></row><row r="637"><cell r="M637" t="str"><v>PHy</v></cell><cell r="N637"><v>7</v></cell><cell r="O637" t="str"><v>HYD</v></cell><cell r="P637" t="str"><v>IBMR</v></cell><cell r="Q637" t="str"><v>MONOCOT</v></cell></row><row r="637"><cell r="S637"><v>165</v></cell></row><row r="638"><cell r="A638" t="str"><v>POTNER</v></cell><cell r="B638" t="str"><v>Potamogeton x nerviger</v></cell></row><row r="638"><cell r="E638" t="str"><v>      </v></cell></row><row r="638"><cell r="M638" t="str"><v>PHy</v></cell><cell r="N638"><v>7</v></cell><cell r="O638" t="str"><v>HYD</v></cell></row><row r="638"><cell r="Q638" t="str"><v>MONOCOT</v></cell></row><row r="638"><cell r="S638"><v>19954</v></cell></row><row r="639"><cell r="A639" t="str"><v>POTNIT</v></cell><cell r="B639" t="str"><v>Potamogeton x nitens</v></cell></row><row r="639"><cell r="E639" t="str"><v>Weber      </v></cell></row><row r="639"><cell r="M639" t="str"><v>PHy</v></cell><cell r="N639"><v>7</v></cell><cell r="O639" t="str"><v>HYD</v></cell></row><row r="639"><cell r="Q639" t="str"><v>MONOCOT</v></cell></row><row r="639"><cell r="S639"><v>223</v></cell></row><row r="640"><cell r="A640" t="str"><v>POTNOD</v></cell><cell r="B640" t="str"><v>Potamogeton nodosus</v></cell><cell r="C640"><v>4</v></cell><cell r="D640"><v>3</v></cell><cell r="E640" t="str"><v>Poiret      </v></cell><cell r="F640" t="str"><v>Potamogeton fluitans</v></cell></row><row r="640"><cell r="M640" t="str"><v>PHy</v></cell><cell r="N640"><v>7</v></cell><cell r="O640" t="str"><v>HYD</v></cell><cell r="P640" t="str"><v>IBMR</v></cell><cell r="Q640" t="str"><v>MONOCOT</v></cell></row><row r="640"><cell r="S640"><v>1652</v></cell></row><row r="641"><cell r="A641" t="str"><v>POTOBT</v></cell><cell r="B641" t="str"><v>Potamogeton obtusifolius</v></cell><cell r="C641"><v>10</v></cell><cell r="D641"><v>2</v></cell><cell r="E641" t="str"><v>Mert. & Koch    </v></cell></row><row r="641"><cell r="M641" t="str"><v>PHy</v></cell><cell r="N641"><v>7</v></cell><cell r="O641" t="str"><v>HYD</v></cell><cell r="P641" t="str"><v>IBMR</v></cell><cell r="Q641" t="str"><v>MONOCOT</v></cell></row><row r="641"><cell r="S641"><v>1653</v></cell></row><row r="642"><cell r="A642" t="str"><v>POTOLI</v></cell><cell r="B642" t="str"><v>Potamogeton x olivaceus</v></cell></row><row r="642"><cell r="E642" t="str"><v>      </v></cell></row><row r="642"><cell r="M642" t="str"><v>PHy</v></cell><cell r="N642"><v>7</v></cell><cell r="O642" t="str"><v>HYD</v></cell></row><row r="642"><cell r="Q642" t="str"><v>MONOCOT</v></cell></row><row r="642"><cell r="S642"><v>19955</v></cell></row><row r="643"><cell r="A643" t="str"><v>POTPAN</v></cell><cell r="B643" t="str"><v>Potamogeton panormitanus</v></cell><cell r="C643"><v>9</v></cell><cell r="D643"><v>2</v></cell><cell r="E643" t="str"><v>      </v></cell><cell r="F643" t="str"><v>potamogeton pusillus L.</v></cell></row><row r="643"><cell r="M643" t="str"><v>PHy</v></cell><cell r="N643"><v>7</v></cell><cell r="O643" t="str"><v>HYD</v></cell><cell r="P643" t="str"><v>IBMR</v></cell><cell r="Q643" t="str"><v>MONOCOT</v></cell></row><row r="643"><cell r="S643"><v>1654</v></cell></row><row r="644"><cell r="A644" t="str"><v>POTPEC</v></cell><cell r="B644" t="str"><v>Potamogeton pectinatus</v></cell><cell r="C644"><v>2</v></cell><cell r="D644"><v>2</v></cell><cell r="E644" t="str"><v>L.      </v></cell></row><row r="644"><cell r="M644" t="str"><v>PHy</v></cell><cell r="N644"><v>7</v></cell><cell r="O644" t="str"><v>HYD</v></cell><cell r="P644" t="str"><v>IBMR</v></cell><cell r="Q644" t="str"><v>MONOCOT</v></cell></row><row r="644"><cell r="S644"><v>1655</v></cell></row><row r="645"><cell r="A645" t="str"><v>POTPER</v></cell><cell r="B645" t="str"><v>Potamogeton perfoliatus</v></cell><cell r="C645"><v>9</v></cell><cell r="D645"><v>2</v></cell><cell r="E645" t="str"><v>L.      </v></cell></row><row r="645"><cell r="M645" t="str"><v>PHy</v></cell><cell r="N645"><v>7</v></cell><cell r="O645" t="str"><v>HYD</v></cell><cell r="P645" t="str"><v>IBMR</v></cell><cell r="Q645" t="str"><v>MONOCOT</v></cell></row><row r="645"><cell r="S645"><v>1656</v></cell></row><row r="646"><cell r="A646" t="str"><v>POTPOL</v></cell><cell r="B646" t="str"><v>Potamogeton polygonifolius</v></cell><cell r="C646"><v>17</v></cell><cell r="D646"><v>3</v></cell><cell r="E646" t="str"><v>Pourret      </v></cell></row><row r="646"><cell r="M646" t="str"><v>PHy</v></cell><cell r="N646"><v>7</v></cell><cell r="O646" t="str"><v>HYD</v></cell><cell r="P646" t="str"><v>IBMR</v></cell><cell r="Q646" t="str"><v>MONOCOT</v></cell></row><row r="646"><cell r="S646"><v>1657</v></cell></row><row r="647"><cell r="A647" t="str"><v>POTPRA</v></cell><cell r="B647" t="str"><v>Potamogeton praelongus</v></cell><cell r="C647"><v>13</v></cell><cell r="D647"><v>2</v></cell><cell r="E647" t="str"><v>Wulfen      </v></cell></row><row r="647"><cell r="M647" t="str"><v>PHy</v></cell><cell r="N647"><v>7</v></cell><cell r="O647" t="str"><v>HYD</v></cell><cell r="P647" t="str"><v>IBMR</v></cell><cell r="Q647" t="str"><v>MONOCOT</v></cell></row><row r="647"><cell r="S647"><v>1658</v></cell></row><row r="648"><cell r="A648" t="str"><v>POTPRO</v></cell><cell r="B648" t="str"><v>Potamogeton natans var. prolixus</v></cell></row><row r="648"><cell r="E648" t="str"><v>Koch      </v></cell></row><row r="648"><cell r="M648" t="str"><v>PHy</v></cell><cell r="N648"><v>7</v></cell><cell r="O648" t="str"><v>HYD</v></cell></row><row r="648"><cell r="Q648" t="str"><v>MONOCOT</v></cell></row><row r="648"><cell r="S648"><v>19937</v></cell></row><row r="649"><cell r="A649" t="str"><v>POTRUT</v></cell><cell r="B649" t="str"><v>Potamogeton rutilus</v></cell></row><row r="649"><cell r="E649" t="str"><v>Wolfg.      </v></cell></row><row r="649"><cell r="M649" t="str"><v>PHy</v></cell><cell r="N649"><v>7</v></cell><cell r="O649" t="str"><v>HYD</v></cell></row><row r="649"><cell r="Q649" t="str"><v>MONOCOT</v></cell></row><row r="649"><cell r="S649"><v>19939</v></cell></row><row r="650"><cell r="A650" t="str"><v>POTSAL</v></cell><cell r="B650" t="str"><v>Potamogeton x saliciifolius</v></cell></row><row r="650"><cell r="E650" t="str"><v>Wolfgang      </v></cell></row><row r="650"><cell r="M650" t="str"><v>PHy</v></cell><cell r="N650"><v>7</v></cell><cell r="O650" t="str"><v>HYD</v></cell></row><row r="650"><cell r="Q650" t="str"><v>MONOCOT</v></cell></row><row r="650"><cell r="S650"><v>19956</v></cell></row><row r="651"><cell r="A651" t="str"><v>POTSCH</v></cell><cell r="B651" t="str"><v>Potamogeton schweinfurthii</v></cell></row><row r="651"><cell r="E651" t="str"><v>      </v></cell></row><row r="651"><cell r="M651" t="str"><v>PHy</v></cell><cell r="N651"><v>7</v></cell><cell r="O651" t="str"><v>HYD</v></cell></row><row r="651"><cell r="Q651" t="str"><v>MONOCOT</v></cell></row><row r="651"><cell r="S651"><v>1994</v></cell></row><row r="652"><cell r="A652" t="str"><v>POTSCR</v></cell><cell r="B652" t="str"><v>Potamogeton x schreberi</v></cell></row><row r="652"><cell r="E652" t="str"><v>      </v></cell></row><row r="652"><cell r="M652" t="str"><v>PHy</v></cell><cell r="N652"><v>7</v></cell><cell r="O652" t="str"><v>HYD</v></cell></row><row r="652"><cell r="Q652" t="str"><v>MONOCOT</v></cell></row><row r="652"><cell r="S652"><v>19957</v></cell></row><row r="653"><cell r="A653" t="str"><v>POTSIC</v></cell><cell r="B653" t="str"><v>Potamogeton siculus</v></cell></row><row r="653"><cell r="E653" t="str"><v>      </v></cell></row><row r="653"><cell r="M653" t="str"><v>PHy</v></cell><cell r="N653"><v>7</v></cell><cell r="O653" t="str"><v>HYD</v></cell></row><row r="653"><cell r="Q653" t="str"><v>MONOCOT</v></cell></row><row r="653"><cell r="S653"><v>19941</v></cell></row><row r="654"><cell r="A654" t="str"><v>POTSPA</v></cell><cell r="B654" t="str"><v>Potamogeton x sparganiifolius</v></cell></row><row r="654"><cell r="E654" t="str"><v>Laestad ex Fries    </v></cell></row><row r="654"><cell r="M654" t="str"><v>PHy</v></cell><cell r="N654"><v>7</v></cell><cell r="O654" t="str"><v>HYD</v></cell></row><row r="654"><cell r="Q654" t="str"><v>MONOCOT</v></cell></row><row r="654"><cell r="S654"><v>19958</v></cell></row><row r="655"><cell r="A655" t="str"><v>POTSPX</v></cell><cell r="B655" t="str"><v>Potamogeton sp.</v></cell></row><row r="655"><cell r="E655" t="str"><v>      </v></cell></row><row r="655"><cell r="M655" t="str"><v>PHy</v></cell><cell r="N655"><v>7</v></cell><cell r="O655" t="str"><v>HYD</v></cell></row><row r="655"><cell r="Q655" t="str"><v>MONOCOT</v></cell></row><row r="655"><cell r="S655"><v>1639</v></cell></row><row r="656"><cell r="A656" t="str"><v>POTSUD</v></cell><cell r="B656" t="str"><v>Potamogeton x sudermanicus</v></cell></row><row r="656"><cell r="E656" t="str"><v>      </v></cell></row><row r="656"><cell r="M656" t="str"><v>PHy</v></cell><cell r="N656"><v>7</v></cell><cell r="O656" t="str"><v>HYD</v></cell></row><row r="656"><cell r="Q656" t="str"><v>MONOCOT</v></cell></row><row r="656"><cell r="S656"><v>19959</v></cell></row><row r="657"><cell r="A657" t="str"><v>POTSUE</v></cell><cell r="B657" t="str"><v>Potamogeton x suecicus</v></cell></row><row r="657"><cell r="E657" t="str"><v>      </v></cell></row><row r="657"><cell r="M657" t="str"><v>PHy</v></cell><cell r="N657"><v>7</v></cell><cell r="O657" t="str"><v>HYD</v></cell></row><row r="657"><cell r="Q657" t="str"><v>MONOCOT</v></cell></row><row r="657"><cell r="S657"><v>1996</v></cell></row><row r="658"><cell r="A658" t="str"><v>POTTRI</v></cell><cell r="B658" t="str"><v>Potamogeton trichoides</v></cell><cell r="C658"><v>7</v></cell><cell r="D658"><v>2</v></cell><cell r="E658" t="str"><v>Cham. & Schelcht    </v></cell></row><row r="658"><cell r="M658" t="str"><v>PHy</v></cell><cell r="N658"><v>7</v></cell><cell r="O658" t="str"><v>HYD</v></cell><cell r="P658" t="str"><v>IBMR</v></cell><cell r="Q658" t="str"><v>MONOCOT</v></cell></row><row r="658"><cell r="S658"><v>1661</v></cell></row><row r="659"><cell r="A659" t="str"><v>POTUND</v></cell><cell r="B659" t="str"><v>Potamogeton x undulatus</v></cell></row><row r="659"><cell r="E659" t="str"><v>      </v></cell></row><row r="659"><cell r="M659" t="str"><v>PHy</v></cell><cell r="N659"><v>7</v></cell><cell r="O659" t="str"><v>HYD</v></cell></row><row r="659"><cell r="Q659" t="str"><v>MONOCOT</v></cell></row><row r="659"><cell r="S659"><v>19961</v></cell></row><row r="660"><cell r="A660" t="str"><v>POTVAG</v></cell><cell r="B660" t="str"><v>Potamogeton vaginatus</v></cell></row><row r="660"><cell r="E660" t="str"><v>      </v></cell></row><row r="660"><cell r="M660" t="str"><v>PHy</v></cell><cell r="N660"><v>7</v></cell><cell r="O660" t="str"><v>HYD</v></cell></row><row r="660"><cell r="Q660" t="str"><v>MONOCOT</v></cell></row><row r="660"><cell r="S660"><v>19942</v></cell></row><row r="661"><cell r="A661" t="str"><v>POTZIZ</v></cell><cell r="B661" t="str"><v>Potamogeton zizii</v></cell></row><row r="661"><cell r="E661" t="str"><v>Koch ex Roth    </v></cell></row><row r="661"><cell r="M661" t="str"><v>PHy</v></cell><cell r="N661"><v>7</v></cell><cell r="O661" t="str"><v>HYD</v></cell></row><row r="661"><cell r="Q661" t="str"><v>MONOCOT</v></cell></row><row r="661"><cell r="S661"><v>225</v></cell></row><row r="662"><cell r="A662" t="str"><v>PREQUA</v></cell><cell r="B662" t="str"><v>Preissia quadrata</v></cell></row><row r="662"><cell r="E662" t="str"><v>(Scop.) Nees     </v></cell><cell r="F662" t="str"><v>Preissia commutata Nees</v></cell><cell r="G662" t="str"><v>Preissia hemisphaerica Cogn.</v></cell><cell r="H662" t="str"><v>Marchantia quadrata Scop.</v></cell><cell r="I662" t="str"><v>Conocephalum hemisphaericum Dumort.</v></cell><cell r="J662" t="str"><v>Cyathophora commutata Trevis.</v></cell></row><row r="662"><cell r="M662" t="str"><v>BRh</v></cell><cell r="N662"><v>4</v></cell></row><row r="662"><cell r="S662"><v>19962</v></cell></row><row r="663"><cell r="A663" t="str"><v>PSESPX</v></cell><cell r="B663" t="str"><v>Pseudanabaena sp.</v></cell></row><row r="663"><cell r="E663" t="str"><v>Lauterborn      </v></cell></row><row r="663"><cell r="M663" t="str"><v>ALG</v></cell><cell r="N663"><v>2</v></cell></row><row r="663"><cell r="S663"><v>6453</v></cell></row><row r="664"><cell r="A664" t="str"><v>PSUSPX</v></cell><cell r="B664" t="str"><v>Pseudendoclonium sp.</v></cell></row><row r="664"><cell r="E664" t="str"><v>Wille      </v></cell></row><row r="664"><cell r="M664" t="str"><v>ALG</v></cell><cell r="N664"><v>2</v></cell></row><row r="664"><cell r="S664"><v>5576</v></cell></row><row r="665"><cell r="A665" t="str"><v>PULDYS</v></cell><cell r="B665" t="str"><v>Pulicaria dysenterica</v></cell></row><row r="665"><cell r="E665" t="str"><v>(L.) Bernh.     </v></cell></row><row r="665"><cell r="M665" t="str"><v>PHg</v></cell><cell r="N665"><v>9</v></cell><cell r="O665" t="str"><v>HYG</v></cell></row><row r="665"><cell r="Q665" t="str"><v>DICOT</v></cell></row><row r="665"><cell r="S665"><v>1748</v></cell></row><row r="666"><cell r="A666" t="str"><v>RACACI</v></cell><cell r="B666" t="str"><v>Racomitrium aciculare</v></cell><cell r="C666"><v>18</v></cell><cell r="D666"><v>3</v></cell><cell r="E666" t="str"><v>(Hedw.) Brid.     </v></cell><cell r="F666" t="str"><v>Rhacomitrium aciculare (Hedw.) Brid.</v></cell></row><row r="666"><cell r="M666" t="str"><v>BRm</v></cell><cell r="N666"><v>5</v></cell></row><row r="666"><cell r="P666" t="str"><v>IBMR</v></cell></row><row r="666"><cell r="S666"><v>1323</v></cell></row><row r="667"><cell r="A667" t="str"><v>RACAQU</v></cell><cell r="B667" t="str"><v>Racomitrium aquaticum</v></cell></row><row r="667"><cell r="E667" t="str"><v>(Schrad.) Brid.</v></cell><cell r="F667" t="str"><v>Racomitrium protensum (A. Braun) Hüb.</v></cell><cell r="G667" t="str"><v>Rhacomitrium aquaticum        </v></cell></row><row r="667"><cell r="M667" t="str"><v>BRm</v></cell><cell r="N667"><v>5</v></cell></row><row r="667"><cell r="S667"><v>19963</v></cell></row><row r="668"><cell r="A668" t="str"><v>RACSPX</v></cell><cell r="B668" t="str"><v>Racomitrium sp.</v></cell></row><row r="668"><cell r="E668" t="str"><v>Brid.     </v></cell><cell r="F668" t="str"><v>Rhacomitrium sp. auct.</v></cell></row><row r="668"><cell r="M668" t="str"><v>BRm</v></cell><cell r="N668"><v>5</v></cell></row><row r="668"><cell r="S668"><v>1322</v></cell></row><row r="669"><cell r="A669" t="str"><v>RADSPX</v></cell><cell r="B669" t="str"><v>Radiofilum sp.</v></cell></row><row r="669"><cell r="E669" t="str"><v>Scmidle      </v></cell></row><row r="669"><cell r="M669" t="str"><v>ALG</v></cell><cell r="N669"><v>2</v></cell></row><row r="669"><cell r="S669"><v>61</v></cell></row><row r="670"><cell r="A670" t="str"><v>RANAQU</v></cell><cell r="B670" t="str"><v>Ranunculus aquatilis</v></cell><cell r="C670"><v>11</v></cell><cell r="D670"><v>2</v></cell><cell r="E670" t="str"><v>L.      </v></cell></row><row r="670"><cell r="M670" t="str"><v>PHy</v></cell><cell r="N670"><v>7</v></cell><cell r="O670" t="str"><v>HYD</v></cell><cell r="P670" t="str"><v>IBMR</v></cell><cell r="Q670" t="str"><v>DICOT</v></cell></row><row r="670"><cell r="S670"><v>1898</v></cell></row><row r="671"><cell r="A671" t="str"><v>RANBAC</v></cell><cell r="B671" t="str"><v>Ranunculus x bachii</v></cell></row><row r="671"><cell r="E671" t="str"><v>      </v></cell></row><row r="671"><cell r="M671" t="str"><v>PHy</v></cell><cell r="N671"><v>7</v></cell><cell r="O671" t="str"><v>HYD</v></cell></row><row r="671"><cell r="Q671" t="str"><v>DICOT</v></cell></row><row r="671"><cell r="S671"><v>19983</v></cell></row><row r="672"><cell r="A672" t="str"><v>RANBAT</v></cell><cell r="B672" t="str"><v>Ranunculus batrachoides</v></cell></row><row r="672"><cell r="E672" t="str"><v>      </v></cell></row><row r="672"><cell r="M672" t="str"><v>PHy</v></cell><cell r="N672"><v>7</v></cell><cell r="O672" t="str"><v>HYD</v></cell></row><row r="672"><cell r="Q672" t="str"><v>DICOT</v></cell></row><row r="672"><cell r="S672"><v>19964</v></cell></row><row r="673"><cell r="A673" t="str"><v>RANBAU</v></cell><cell r="B673" t="str"><v>Ranunculus baudoti</v></cell></row><row r="673"><cell r="E673" t="str"><v>Godron      </v></cell></row><row r="673"><cell r="M673" t="str"><v>PHy</v></cell><cell r="N673"><v>7</v></cell><cell r="O673" t="str"><v>HYD</v></cell></row><row r="673"><cell r="Q673" t="str"><v>DICOT</v></cell></row><row r="673"><cell r="S673"><v>1899</v></cell></row><row r="674"><cell r="A674" t="str"><v>RANCAL</v></cell><cell r="B674" t="str"><v>Ranunculus penicillatus varcalcareus</v></cell><cell r="C674"><v>13</v></cell><cell r="D674"><v>2</v></cell><cell r="E674" t="str"><v>(Dumort.) Bab.     </v></cell><cell r="F674" t="str"><v>Ranunculus penicillatus subsp. calcareus</v></cell></row><row r="674"><cell r="M674" t="str"><v>PHy</v></cell><cell r="N674"><v>7</v></cell><cell r="O674" t="str"><v>HYD</v></cell><cell r="P674" t="str"><v>IBMR</v></cell><cell r="Q674" t="str"><v>DICOT</v></cell></row><row r="674"><cell r="S674"><v>29941</v></cell></row><row r="675"><cell r="A675" t="str"><v>RANCIR</v></cell><cell r="B675" t="str"><v>Ranunculus circinatus</v></cell><cell r="C675"><v>10</v></cell><cell r="D675"><v>2</v></cell><cell r="E675" t="str"><v>Sibth.      </v></cell><cell r="F675" t="str"><v>Ranunculus divaricatus</v></cell></row><row r="675"><cell r="M675" t="str"><v>PHy</v></cell><cell r="N675"><v>7</v></cell><cell r="O675" t="str"><v>HYD</v></cell><cell r="P675" t="str"><v>IBMR</v></cell><cell r="Q675" t="str"><v>DICOT</v></cell></row><row r="675"><cell r="S675"><v>191</v></cell></row><row r="676"><cell r="A676" t="str"><v>RANERA</v></cell><cell r="B676" t="str"><v>Ranunculus trichophyllus subsp. eradicatus</v></cell><cell r="C676"><v>11</v></cell><cell r="D676"><v>2</v></cell><cell r="E676" t="str"><v>      </v></cell></row><row r="676"><cell r="M676" t="str"><v>PHy</v></cell><cell r="N676"><v>7</v></cell><cell r="O676" t="str"><v>HYD</v></cell></row><row r="676"><cell r="Q676" t="str"><v>DICOT</v></cell></row><row r="676"><cell r="S676"><v>1998</v></cell></row><row r="677"><cell r="A677" t="str"><v>RANFLA</v></cell><cell r="B677" t="str"><v>Ranunculus flammula</v></cell><cell r="C677"><v>16</v></cell><cell r="D677"><v>3</v></cell><cell r="E677" t="str"><v>L.      </v></cell></row><row r="677"><cell r="M677" t="str"><v>PHy</v></cell><cell r="N677"><v>7</v></cell><cell r="O677" t="str"><v>HYD</v></cell><cell r="P677" t="str"><v>IBMR</v></cell><cell r="Q677" t="str"><v>DICOT</v></cell></row><row r="677"><cell r="S677"><v>192</v></cell></row><row r="678"><cell r="A678" t="str"><v>RANFLF</v></cell><cell r="B678" t="str"><v>Ranunculus flammula subsp. flammula</v></cell></row><row r="678"><cell r="E678" t="str"><v>      </v></cell></row><row r="678"><cell r="M678" t="str"><v>PHe</v></cell><cell r="N678"><v>8</v></cell><cell r="O678" t="str"><v>HYD/HEL</v></cell></row><row r="678"><cell r="Q678" t="str"><v>DICOT</v></cell></row><row r="678"><cell r="S678"><v>19965</v></cell></row><row r="679"><cell r="A679" t="str"><v>RANFLU</v></cell><cell r="B679" t="str"><v>Ranunculus fluitans</v></cell><cell r="C679"><v>10</v></cell><cell r="D679"><v>2</v></cell><cell r="E679" t="str"><v>Lam.      </v></cell></row><row r="679"><cell r="M679" t="str"><v>PHy</v></cell><cell r="N679"><v>7</v></cell><cell r="O679" t="str"><v>HYD</v></cell><cell r="P679" t="str"><v>IBMR</v></cell><cell r="Q679" t="str"><v>DICOT</v></cell></row><row r="679"><cell r="S679"><v>193</v></cell></row><row r="680"><cell r="A680" t="str"><v>RANFUC</v></cell><cell r="B680" t="str"><v>Ranunculus peltatus subsp. fucoides</v></cell><cell r="C680"><v>12</v></cell><cell r="D680"><v>2</v></cell><cell r="E680" t="str"><v>      </v></cell></row><row r="680"><cell r="M680" t="str"><v>PHy</v></cell><cell r="N680"><v>7</v></cell><cell r="O680" t="str"><v>HYD</v></cell></row><row r="680"><cell r="Q680" t="str"><v>DICOT</v></cell></row><row r="680"><cell r="S680"><v>19972</v></cell></row><row r="681"><cell r="A681" t="str"><v>RANHED</v></cell><cell r="B681" t="str"><v>Ranunculus hederaceus</v></cell><cell r="C681"><v>12</v></cell><cell r="D681"><v>3</v></cell><cell r="E681" t="str"><v>L.      </v></cell></row><row r="681"><cell r="M681" t="str"><v>PHy</v></cell><cell r="N681"><v>7</v></cell><cell r="O681" t="str"><v>HYD</v></cell><cell r="P681" t="str"><v>IBMR</v></cell><cell r="Q681" t="str"><v>DICOT</v></cell></row><row r="681"><cell r="S681"><v>194</v></cell></row><row r="682"><cell r="A682" t="str"><v>RANHYP</v></cell><cell r="B682" t="str"><v>Ranunculus hyperboreus</v></cell></row><row r="682"><cell r="E682" t="str"><v>      </v></cell></row><row r="682"><cell r="M682" t="str"><v>PHx</v></cell><cell r="N682"><v>1</v></cell></row><row r="682"><cell r="Q682" t="str"><v>DICOT</v></cell></row><row r="682"><cell r="S682"><v>1997</v></cell></row><row r="683"><cell r="A683" t="str"><v>RANKEL</v></cell><cell r="B683" t="str"><v>Ranunculus x kelchoensis</v></cell></row><row r="683"><cell r="E683" t="str"><v>      </v></cell></row><row r="683"><cell r="M683" t="str"><v>PHy</v></cell><cell r="N683"><v>7</v></cell><cell r="O683" t="str"><v>HYD</v></cell></row><row r="683"><cell r="Q683" t="str"><v>DICOT</v></cell></row><row r="683"><cell r="S683"><v>19985</v></cell></row><row r="684"><cell r="A684" t="str"><v>RANLEV</v></cell><cell r="B684" t="str"><v>Ranunculus x levenensis</v></cell></row><row r="684"><cell r="E684" t="str"><v>      </v></cell></row><row r="684"><cell r="M684" t="str"><v>PHy</v></cell><cell r="N684"><v>7</v></cell><cell r="O684" t="str"><v>HYD</v></cell></row><row r="684"><cell r="Q684" t="str"><v>DICOT</v></cell></row><row r="684"><cell r="S684"><v>19986</v></cell></row><row r="685"><cell r="A685" t="str"><v>RANLIN</v></cell><cell r="B685" t="str"><v>Ranunculus lingua</v></cell></row><row r="685"><cell r="E685" t="str"><v>      </v></cell></row><row r="685"><cell r="M685" t="str"><v>PHe</v></cell><cell r="N685"><v>8</v></cell><cell r="O685" t="str"><v>HEL</v></cell></row><row r="685"><cell r="Q685" t="str"><v>DICOT</v></cell></row><row r="685"><cell r="S685"><v>19971</v></cell></row><row r="686"><cell r="A686" t="str"><v>RANLUT</v></cell><cell r="B686" t="str"><v>Ranunculus trichophyllus subsp. lutulentus</v></cell><cell r="C686"><v>11</v></cell><cell r="D686"><v>2</v></cell><cell r="E686" t="str"><v>      </v></cell></row><row r="686"><cell r="M686" t="str"><v>PHy</v></cell><cell r="N686"><v>7</v></cell><cell r="O686" t="str"><v>HYD</v></cell></row><row r="686"><cell r="Q686" t="str"><v>DICOT</v></cell></row><row r="686"><cell r="S686"><v>19981</v></cell></row><row r="687"><cell r="A687" t="str"><v>RANMIN</v></cell><cell r="B687" t="str"><v>Ranunculus flammula subsp. minimus</v></cell></row><row r="687"><cell r="E687" t="str"><v>      </v></cell></row><row r="687"><cell r="M687" t="str"><v>PHe</v></cell><cell r="N687"><v>8</v></cell><cell r="O687" t="str"><v>HYD/HEL</v></cell></row><row r="687"><cell r="Q687" t="str"><v>DICOT</v></cell></row><row r="687"><cell r="S687"><v>19966</v></cell></row><row r="688"><cell r="A688" t="str"><v>RANNOV</v></cell><cell r="B688" t="str"><v>Ranunculus x novae-forestae</v></cell></row><row r="688"><cell r="E688" t="str"><v>      </v></cell></row><row r="688"><cell r="M688" t="str"><v>PHy</v></cell><cell r="N688"><v>7</v></cell><cell r="O688" t="str"><v>HYD</v></cell></row><row r="688"><cell r="Q688" t="str"><v>DICOT</v></cell></row><row r="688"><cell r="S688"><v>19987</v></cell></row><row r="689"><cell r="A689" t="str"><v>RANOLO</v></cell><cell r="B689" t="str"><v>Ranunculus ololeucos</v></cell><cell r="C689"><v>19</v></cell><cell r="D689"><v>3</v></cell><cell r="E689" t="str"><v>Lloyd      </v></cell></row><row r="689"><cell r="M689" t="str"><v>PHy</v></cell><cell r="N689"><v>7</v></cell><cell r="O689" t="str"><v>HYD</v></cell><cell r="P689" t="str"><v>IBMR</v></cell><cell r="Q689" t="str"><v>DICOT</v></cell></row><row r="689"><cell r="S689"><v>195</v></cell></row><row r="690"><cell r="A690" t="str"><v>RANOMI</v></cell><cell r="B690" t="str"><v>Ranunculus omiophyllus</v></cell><cell r="C690"><v>19</v></cell><cell r="D690"><v>3</v></cell><cell r="E690" t="str"><v>Ten.      </v></cell></row><row r="690"><cell r="M690" t="str"><v>PHy</v></cell><cell r="N690"><v>7</v></cell><cell r="O690" t="str"><v>HYD</v></cell><cell r="P690" t="str"><v>IBMR</v></cell><cell r="Q690" t="str"><v>DICOT</v></cell></row><row r="690"><cell r="S690"><v>196</v></cell></row><row r="691"><cell r="A691" t="str"><v>RANPEL</v></cell><cell r="B691" t="str"><v>Ranunculus peltatus</v></cell><cell r="C691"><v>12</v></cell><cell r="D691"><v>2</v></cell><cell r="E691" t="str"><v>Schrank.      </v></cell></row><row r="691"><cell r="M691" t="str"><v>PHy</v></cell><cell r="N691"><v>7</v></cell><cell r="O691" t="str"><v>HYD</v></cell><cell r="P691" t="str"><v>IBMR</v></cell><cell r="Q691" t="str"><v>DICOT</v></cell></row><row r="691"><cell r="S691"><v>198</v></cell></row><row r="692"><cell r="A692" t="str"><v>RANPEN</v></cell><cell r="B692" t="str"><v>Ranunculus penicillatus </v></cell><cell r="C692"><v>12</v></cell><cell r="D692"><v>1</v></cell><cell r="E692" t="str"><v>(Dumort.) Bab.     </v></cell><cell r="F692" t="str"><v>Ranunculus penicillatus subsp. penicillatus</v></cell></row><row r="692"><cell r="M692" t="str"><v>PHy</v></cell><cell r="N692"><v>7</v></cell><cell r="O692" t="str"><v>HYD</v></cell><cell r="P692" t="str"><v>IBMR</v></cell><cell r="Q692" t="str"><v>DICOT</v></cell></row><row r="692"><cell r="S692"><v>199</v></cell></row><row r="693"><cell r="A693" t="str"><v>RANPEP</v></cell><cell r="B693" t="str"><v>Ranunculus peltatus subsp. peltatus</v></cell><cell r="C693"><v>12</v></cell><cell r="D693"><v>2</v></cell><cell r="E693" t="str"><v>      </v></cell></row><row r="693"><cell r="M693" t="str"><v>PHy</v></cell><cell r="N693"><v>7</v></cell><cell r="O693" t="str"><v>HYD</v></cell></row><row r="693"><cell r="Q693" t="str"><v>DICOT</v></cell></row><row r="693"><cell r="S693"><v>19973</v></cell></row><row r="694"><cell r="A694" t="str"><v>RANPOL</v></cell><cell r="B694" t="str"><v>Ranunculus polyphyllus</v></cell></row><row r="694"><cell r="E694" t="str"><v>      </v></cell></row><row r="694"><cell r="M694" t="str"><v>PHx</v></cell><cell r="N694"><v>1</v></cell></row><row r="694"><cell r="Q694" t="str"><v>DICOT</v></cell></row><row r="694"><cell r="S694"><v>19977</v></cell></row><row r="695"><cell r="A695" t="str"><v>RANPSE</v></cell><cell r="B695" t="str"><v>Ranunculus penicillatus subsp. pseudofluitans</v></cell><cell r="C695"><v>12</v></cell><cell r="D695"><v>2</v></cell><cell r="E695" t="str"><v>(Syme) S. D. Webster   </v></cell></row><row r="695"><cell r="M695" t="str"><v>PHy</v></cell><cell r="N695"><v>7</v></cell><cell r="O695" t="str"><v>HYD</v></cell></row><row r="695"><cell r="Q695" t="str"><v>DICOT</v></cell></row><row r="695"><cell r="S695"><v>19974</v></cell></row><row r="696"><cell r="A696" t="str"><v>RANREP</v></cell><cell r="B696" t="str"><v>Ranunculus repens</v></cell></row><row r="696"><cell r="E696" t="str"><v>L.      </v></cell></row><row r="696"><cell r="M696" t="str"><v>PHg</v></cell><cell r="N696"><v>9</v></cell><cell r="O696" t="str"><v>HYG</v></cell></row><row r="696"><cell r="Q696" t="str"><v>DICOT</v></cell></row><row r="696"><cell r="S696"><v>191</v></cell></row><row r="697"><cell r="A697" t="str"><v>RANRET</v></cell><cell r="B697" t="str"><v>Ranunculus reptans</v></cell></row><row r="697"><cell r="E697" t="str"><v>      </v></cell></row><row r="697"><cell r="M697" t="str"><v>PHg</v></cell><cell r="N697"><v>9</v></cell><cell r="O697" t="str"><v>HYG</v></cell></row><row r="697"><cell r="Q697" t="str"><v>DICOT</v></cell></row><row r="697"><cell r="S697"><v>19978</v></cell></row><row r="698"><cell r="A698" t="str"><v>RANRIO</v></cell><cell r="B698" t="str"><v>Ranunculus rionii</v></cell></row><row r="698"><cell r="E698" t="str"><v>      </v></cell></row><row r="698"><cell r="M698" t="str"><v>PHy</v></cell><cell r="N698"><v>7</v></cell><cell r="O698" t="str"><v>HYD</v></cell></row><row r="698"><cell r="Q698" t="str"><v>DICOT</v></cell></row><row r="698"><cell r="S698"><v>1911</v></cell></row><row r="699"><cell r="A699" t="str"><v>RANSAR</v></cell><cell r="B699" t="str"><v>Ranunculus sardous</v></cell></row><row r="699"><cell r="E699" t="str"><v>Crantz      </v></cell></row><row r="699"><cell r="M699" t="str"><v>PHg</v></cell><cell r="N699"><v>9</v></cell><cell r="O699" t="str"><v>HYG</v></cell></row><row r="699"><cell r="Q699" t="str"><v>DICOT</v></cell></row><row r="699"><cell r="S699"><v>1912</v></cell></row><row r="700"><cell r="A700" t="str"><v>RANSCE</v></cell><cell r="B700" t="str"><v>Ranunculus sceleratus</v></cell></row><row r="700"><cell r="E700" t="str"><v>L.      </v></cell></row><row r="700"><cell r="M700" t="str"><v>PHg</v></cell><cell r="N700"><v>9</v></cell><cell r="O700" t="str"><v>HYG</v></cell></row><row r="700"><cell r="Q700" t="str"><v>DICOT</v></cell></row><row r="700"><cell r="S700"><v>1913</v></cell></row><row r="701"><cell r="A701" t="str"><v>RANSCO</v></cell><cell r="B701" t="str"><v>Ranunculus flammula subsp. scoticus</v></cell></row><row r="701"><cell r="E701" t="str"><v>      </v></cell></row><row r="701"><cell r="M701" t="str"><v>PHe</v></cell><cell r="N701"><v>8</v></cell><cell r="O701" t="str"><v>HYD/HEL</v></cell></row><row r="701"><cell r="Q701" t="str"><v>DICOT</v></cell></row><row r="701"><cell r="S701"><v>19967</v></cell></row><row r="702"><cell r="A702" t="str"><v>RANSPH</v></cell><cell r="B702" t="str"><v>Ranunculus sphaerosphermus</v></cell></row><row r="702"><cell r="E702" t="str"><v>      </v></cell></row><row r="702"><cell r="M702" t="str"><v>PHx</v></cell><cell r="N702"><v>1</v></cell></row><row r="702"><cell r="Q702" t="str"><v>DICOT</v></cell></row><row r="702"><cell r="S702"><v>19979</v></cell></row><row r="703"><cell r="A703" t="str"><v>RANSPX</v></cell><cell r="B703" t="str"><v>Ranunculus sp.</v></cell></row><row r="703"><cell r="E703" t="str"><v>      </v></cell></row><row r="703"><cell r="M703" t="str"><v>PHy</v></cell><cell r="N703"><v>7</v></cell><cell r="O703" t="str"><v>HYD</v></cell></row><row r="703"><cell r="Q703" t="str"><v>DICOT</v></cell></row><row r="703"><cell r="S703"><v>1896</v></cell></row><row r="704"><cell r="A704" t="str"><v>RANTRC</v></cell><cell r="B704" t="str"><v>Ranunculus trichophyllus x circinatus</v></cell></row><row r="704"><cell r="E704" t="str"><v>      </v></cell></row><row r="704"><cell r="M704" t="str"><v>PHy</v></cell><cell r="N704"><v>7</v></cell><cell r="O704" t="str"><v>HYD</v></cell></row><row r="704"><cell r="Q704" t="str"><v>DICOT</v></cell></row><row r="704"><cell r="S704"><v>19982</v></cell></row><row r="705"><cell r="A705" t="str"><v>RANTRI</v></cell><cell r="B705" t="str"><v>Ranunculus trichophyllus</v></cell><cell r="C705"><v>11</v></cell><cell r="D705"><v>2</v></cell><cell r="E705" t="str"><v>Chaix      </v></cell></row><row r="705"><cell r="M705" t="str"><v>PHy</v></cell><cell r="N705"><v>7</v></cell><cell r="O705" t="str"><v>HYD</v></cell><cell r="P705" t="str"><v>IBMR</v></cell><cell r="Q705" t="str"><v>DICOT</v></cell></row><row r="705"><cell r="S705"><v>1914</v></cell></row><row r="706"><cell r="A706" t="str"><v>RANTRP</v></cell><cell r="B706" t="str"><v>Ranunculus tripartitus</v></cell></row><row r="706"><cell r="E706" t="str"><v>DC      </v></cell></row><row r="706"><cell r="M706" t="str"><v>PHy</v></cell><cell r="N706"><v>7</v></cell><cell r="O706" t="str"><v>HYD</v></cell></row><row r="706"><cell r="Q706" t="str"><v>DICOT</v></cell></row><row r="706"><cell r="S706"><v>1915</v></cell></row><row r="707"><cell r="A707" t="str"><v>REYJAP</v></cell><cell r="B707" t="str"><v>Reynoutria japonica</v></cell></row><row r="707"><cell r="E707" t="str"><v>Houtt.      </v></cell><cell r="F707" t="str"><v>Blyxa japonica</v></cell></row><row r="707"><cell r="M707" t="str"><v>PHe</v></cell><cell r="N707"><v>8</v></cell><cell r="O707" t="str"><v>HYD/HEL</v></cell></row><row r="707"><cell r="Q707" t="str"><v>MONOCOT</v></cell></row><row r="707"><cell r="S707"><v>19988</v></cell></row><row r="708"><cell r="A708" t="str"><v>RHISPX</v></cell><cell r="B708" t="str"><v>Rhizoclonium sp.</v></cell><cell r="C708"><v>4</v></cell><cell r="D708"><v>2</v></cell><cell r="E708" t="str"><v>Kützing      </v></cell></row><row r="708"><cell r="M708" t="str"><v>ALG</v></cell><cell r="N708"><v>2</v></cell></row><row r="708"><cell r="P708" t="str"><v>IBMR</v></cell></row><row r="708"><cell r="S708"><v>1125</v></cell></row><row r="709"><cell r="A709" t="str"><v>RHNRUG</v></cell><cell r="B709" t="str"><v>Rhynchospora rugosa</v></cell></row><row r="709"><cell r="E709" t="str"><v>      </v></cell></row><row r="709"><cell r="M709" t="str"><v>PHg</v></cell><cell r="N709"><v>9</v></cell><cell r="O709" t="str"><v>HYG</v></cell></row><row r="709"><cell r="Q709" t="str"><v>MONOCOT</v></cell></row><row r="709"><cell r="S709"><v>19995</v></cell></row><row r="710"><cell r="A710" t="str"><v>RHYALO</v></cell><cell r="B710" t="str"><v>Rhynchostegium alopecuroides</v></cell></row><row r="710"><cell r="E710" t="str"><v>(Brid.) A.J.E. Sm.    </v></cell><cell r="F710" t="str"><v>Rhynchostegium lusitanicum (Schimp.) A.J.E. Sm.</v></cell><cell r="G710" t="str"><v>Hygrohypnum lusitanicum (Schimp.) Corb.</v></cell><cell r="H710" t="str"><v>Eurhynchium alopecuroides (Brid.) P. Rich. & Wallace</v></cell></row><row r="710"><cell r="M710" t="str"><v>BRm</v></cell><cell r="N710"><v>5</v></cell></row><row r="710"><cell r="S710"><v>19996</v></cell></row><row r="711"><cell r="A711" t="str"><v>RHYRIP</v></cell><cell r="B711" t="str"><v>Rhynchostegium riparioides</v></cell><cell r="C711"><v>12</v></cell><cell r="D711"><v>1</v></cell><cell r="E711" t="str"><v>(Hedw.) Card.</v></cell><cell r="F711" t="str"><v>Platyhypnidium rusciforme Fleisch.</v></cell><cell r="G711" t="str"><v>Rhynchostegium rusciforme B., S. & G.</v></cell><cell r="H711" t="str"><v>Platyhypnidium riparioides (Hedw.) Dix.</v></cell><cell r="I711" t="str"><v>Eurynchium riparioides (Hedw.) P. Rich.</v></cell></row><row r="711"><cell r="M711" t="str"><v>BRm</v></cell><cell r="N711"><v>5</v></cell></row><row r="711"><cell r="P711" t="str"><v>IBMR</v></cell></row><row r="711"><cell r="S711"><v>1268</v></cell></row><row r="712"><cell r="A712" t="str"><v>RHYSPX</v></cell><cell r="B712" t="str"><v>Rhynchostegium sp.</v></cell></row><row r="712"><cell r="E712" t="str"><v>B., S. & G.  </v></cell><cell r="F712" t="str"><v>Platyhypnidium sp. Fleisch.</v></cell></row><row r="712"><cell r="M712" t="str"><v>BRm</v></cell><cell r="N712"><v>5</v></cell></row><row r="712"><cell r="S712"><v>1266</v></cell></row><row r="713"><cell r="A713" t="str"><v>RHZMAG</v></cell><cell r="B713" t="str"><v>Rhizomnium magnifolium</v></cell></row><row r="713"><cell r="E713" t="str"><v>(Horica) T. Kop.    </v></cell><cell r="F713" t="str"><v>Mnium punctatum Hedw. var. elatum Schimp.</v></cell><cell r="G713" t="str"><v>Rhizomnium perssonii T. Kop.</v></cell></row><row r="713"><cell r="M713" t="str"><v>BRm</v></cell><cell r="N713"><v>5</v></cell></row><row r="713"><cell r="S713"><v>19989</v></cell></row><row r="714"><cell r="A714" t="str"><v>RHZPSE</v></cell><cell r="B714" t="str"><v>Rhizomnium pseudopunctatum</v></cell></row><row r="714"><cell r="E714" t="str"><v>(B. & S.) T. Kop.  </v></cell><cell r="F714" t="str"><v>Mnium pseudopunctatum B. & S.</v></cell></row><row r="714"><cell r="M714" t="str"><v>BRm</v></cell><cell r="N714"><v>5</v></cell></row><row r="714"><cell r="S714"><v>1999</v></cell></row><row r="715"><cell r="A715" t="str"><v>RHZPUN</v></cell><cell r="B715" t="str"><v>Rhizomnium punctatum</v></cell></row><row r="715"><cell r="E715" t="str"><v>(Hedw.) T. Kop.</v></cell><cell r="F715" t="str"><v>Mnium punctatum Hedw. var. punctatum Hedw.</v></cell></row><row r="715"><cell r="M715" t="str"><v>BRm</v></cell><cell r="N715"><v>5</v></cell></row><row r="715"><cell r="S715"><v>19991</v></cell></row><row r="716"><cell r="A716" t="str"><v>RHZSPX</v></cell><cell r="B716" t="str"><v>Rhizomnium sp.</v></cell></row><row r="716"><cell r="E716" t="str"><v>T. Kop.</v></cell></row><row r="716"><cell r="M716" t="str"><v>BRm</v></cell><cell r="N716"><v>5</v></cell></row><row r="716"><cell r="S716"><v>19992</v></cell></row><row r="717"><cell r="A717" t="str"><v>RICCHA</v></cell><cell r="B717" t="str"><v>Riccardia chamaedryfolia</v></cell><cell r="C717"><v>15</v></cell><cell r="D717"><v>2</v></cell><cell r="E717" t="str"><v>(With.) Grolle</v></cell><cell r="F717" t="str"><v>Riccardia sinuata (Hook.) Trevis</v></cell><cell r="G717" t="str"><v>Aneura pinnatifida Dumort.</v></cell><cell r="H717" t="str"><v>Jungermannia sinuata Dicks.</v></cell><cell r="I717" t="str"><v>Jungermannia chamaedryfolia With.</v></cell></row><row r="717"><cell r="M717" t="str"><v>BRh</v></cell><cell r="N717"><v>4</v></cell></row><row r="717"><cell r="P717" t="str"><v>IBMR</v></cell></row><row r="717"><cell r="S717"><v>1173</v></cell></row><row r="718"><cell r="A718" t="str"><v>RICMUL</v></cell><cell r="B718" t="str"><v>Riccardia multifida</v></cell><cell r="C718"><v>15</v></cell><cell r="D718"><v>2</v></cell><cell r="E718" t="str"><v>(L.) Gray    </v></cell><cell r="F718" t="str"><v>Aneura multifida (L.) Dumort.</v></cell><cell r="G718" t="str"><v>Jungermannia multifida L.</v></cell><cell r="H718" t="str"><v>Roemeria multifida (L.) Raddi</v></cell></row><row r="718"><cell r="M718" t="str"><v>BRh</v></cell><cell r="N718"><v>4</v></cell></row><row r="718"><cell r="P718" t="str"><v>IBMR</v></cell></row><row r="718"><cell r="S718"><v>125</v></cell></row><row r="719"><cell r="A719" t="str"><v>RICSPX</v></cell><cell r="B719" t="str"><v>Riccardia sp.</v></cell></row><row r="719"><cell r="E719" t="str"><v>Gray</v></cell></row><row r="719"><cell r="M719" t="str"><v>BRh</v></cell><cell r="N719"><v>4</v></cell></row><row r="719"><cell r="S719"><v>1172</v></cell></row><row r="720"><cell r="A720" t="str"><v>RIIFLU</v></cell><cell r="B720" t="str"><v>Riccia fluitans</v></cell><cell r="C720"><v>8</v></cell><cell r="D720"><v>3</v></cell><cell r="E720" t="str"><v>L.      </v></cell><cell r="F720" t="str"><v>Ricciella fluitans (L.) A. Braun</v></cell><cell r="G720" t="str"><v>Riciella centrifuga Arnell</v></cell></row><row r="720"><cell r="M720" t="str"><v>BRh</v></cell><cell r="N720"><v>4</v></cell></row><row r="720"><cell r="P720" t="str"><v>IBMR</v></cell></row><row r="720"><cell r="S720"><v>121</v></cell></row><row r="721"><cell r="A721" t="str"><v>RIIHUE</v></cell><cell r="B721" t="str"><v>Riccia huebeneriana</v></cell></row><row r="721"><cell r="E721" t="str"><v>Lindenb.      </v></cell><cell r="F721" t="str"><v>Ricciella huebeneriana (Lindenb.) Dumort.</v></cell><cell r="G721" t="str"><v>Ricciella pseudofrostii Schiffn. ex Müll. Frib.</v></cell></row><row r="721"><cell r="M721" t="str"><v>BRh</v></cell><cell r="N721"><v>4</v></cell></row><row r="721"><cell r="S721"><v>19998</v></cell></row><row r="722"><cell r="A722" t="str"><v>RIIRHE</v></cell><cell r="B722" t="str"><v>Riccia rhenana</v></cell></row><row r="722"><cell r="E722" t="str"><v>Lorb.     </v></cell></row><row r="722"><cell r="M722" t="str"><v>BRh</v></cell><cell r="N722"><v>4</v></cell></row><row r="722"><cell r="S722"><v>19999</v></cell></row><row r="723"><cell r="A723" t="str"><v>RIISPX</v></cell><cell r="B723" t="str"><v>Riccia sp.</v></cell></row><row r="723"><cell r="E723" t="str"><v>L.</v></cell></row><row r="723"><cell r="M723" t="str"><v>BRh</v></cell><cell r="N723"><v>4</v></cell></row><row r="723"><cell r="S723"><v>129</v></cell></row><row r="724"><cell r="A724" t="str"><v>RIONAT</v></cell><cell r="B724" t="str"><v>Ricciocarpos natans</v></cell></row><row r="724"><cell r="E724" t="str"><v>(L.) Corda     </v></cell><cell r="F724" t="str"><v>Riccia natans L.</v></cell><cell r="G724" t="str"><v>Riccia capillata Schmidel</v></cell><cell r="H724" t="str"><v>Riccia velutina Wilson</v></cell><cell r="I724" t="str"><v>Ricciocarpos velutinus (Wilson) Steph.</v></cell></row><row r="724"><cell r="M724" t="str"><v>BRh</v></cell><cell r="N724"><v>4</v></cell></row><row r="724"><cell r="S724"><v>2</v></cell></row><row r="725"><cell r="A725" t="str"><v>RIVSPX</v></cell><cell r="B725" t="str"><v>Rivularia sp.</v></cell></row><row r="725"><cell r="E725" t="str"><v>Roth.      </v></cell></row><row r="725"><cell r="M725" t="str"><v>ALG</v></cell><cell r="N725"><v>2</v></cell></row><row r="725"><cell r="S725"><v>63</v></cell></row><row r="726"><cell r="A726" t="str"><v>RORAMP</v></cell><cell r="B726" t="str"><v>Rorippa amphibia</v></cell><cell r="C726"><v>9</v></cell><cell r="D726"><v>1</v></cell><cell r="E726" t="str"><v>(L.) Besser     </v></cell></row><row r="726"><cell r="M726" t="str"><v>PHe</v></cell><cell r="N726"><v>8</v></cell><cell r="O726" t="str"><v>HEL</v></cell><cell r="P726" t="str"><v>IBMR</v></cell><cell r="Q726" t="str"><v>DICOT</v></cell></row><row r="726"><cell r="S726"><v>1765</v></cell></row><row r="727"><cell r="A727" t="str"><v>RORANC</v></cell><cell r="B727" t="str"><v>Rorippa x anceps</v></cell></row><row r="727"><cell r="E727" t="str"><v>      </v></cell></row><row r="727"><cell r="M727" t="str"><v>PHx</v></cell><cell r="N727"><v>1</v></cell></row><row r="727"><cell r="Q727" t="str"><v>DICOT</v></cell></row><row r="727"><cell r="S727"><v>23</v></cell></row><row r="728"><cell r="A728" t="str"><v>RORARM</v></cell><cell r="B728" t="str"><v>Rorippa cf x armoracioides</v></cell></row><row r="728"><cell r="E728" t="str"><v>      </v></cell></row><row r="728"><cell r="M728" t="str"><v>PHe</v></cell><cell r="N728"><v>8</v></cell><cell r="O728" t="str"><v>HYD/HEL</v></cell></row><row r="728"><cell r="Q728" t="str"><v>DICOT</v></cell></row><row r="728"><cell r="S728"><v>24</v></cell></row><row r="729"><cell r="A729" t="str"><v>RORERY</v></cell><cell r="B729" t="str"><v>Rorippa x erythrocaulis</v></cell></row><row r="729"><cell r="E729" t="str"><v>      </v></cell></row><row r="729"><cell r="M729" t="str"><v>PHe</v></cell><cell r="N729"><v>8</v></cell><cell r="O729" t="str"><v>HYD/HEL</v></cell></row><row r="729"><cell r="Q729" t="str"><v>DICOT</v></cell></row><row r="729"><cell r="S729"><v>25</v></cell></row><row r="730"><cell r="A730" t="str"><v>RORISL</v></cell><cell r="B730" t="str"><v>Rorippa islandica</v></cell></row><row r="730"><cell r="E730" t="str"><v>(Oeder) Borbas     </v></cell></row><row r="730"><cell r="M730" t="str"><v>PHg</v></cell><cell r="N730"><v>9</v></cell><cell r="O730" t="str"><v>HYG</v></cell></row><row r="730"><cell r="Q730" t="str"><v>DICOT</v></cell></row><row r="730"><cell r="S730"><v>1766</v></cell></row><row r="731"><cell r="A731" t="str"><v>RORMIC</v></cell><cell r="B731" t="str"><v>Rorippa microphylla</v></cell></row><row r="731"><cell r="E731" t="str"><v>Boenn      </v></cell></row><row r="731"><cell r="M731" t="str"><v>PHe</v></cell><cell r="N731"><v>8</v></cell><cell r="O731" t="str"><v>HYD/HEL</v></cell></row><row r="731"><cell r="Q731" t="str"><v>DICOT</v></cell></row><row r="731"><cell r="S731"><v>21</v></cell></row><row r="732"><cell r="A732" t="str"><v>RORPAL</v></cell><cell r="B732" t="str"><v>Rorippa palustris</v></cell></row><row r="732"><cell r="E732" t="str"><v>(L.) Besser     </v></cell></row><row r="732"><cell r="M732" t="str"><v>PHx</v></cell><cell r="N732"><v>1</v></cell></row><row r="732"><cell r="Q732" t="str"><v>DICOT</v></cell></row><row r="732"><cell r="S732"><v>22</v></cell></row><row r="733"><cell r="A733" t="str"><v>RORSPX</v></cell><cell r="B733" t="str"><v>Rorippa sp.</v></cell></row><row r="733"><cell r="E733" t="str"><v>      </v></cell></row><row r="733"><cell r="M733" t="str"><v>PHe</v></cell><cell r="N733"><v>8</v></cell><cell r="O733" t="str"><v>HYD/HEL</v></cell></row><row r="733"><cell r="Q733" t="str"><v>DICOT</v></cell></row><row r="733"><cell r="S733"><v>1764</v></cell></row><row r="734"><cell r="A734" t="str"><v>RORSTE</v></cell><cell r="B734" t="str"><v>Rorippa x sterilis</v></cell></row><row r="734"><cell r="E734" t="str"><v>      </v></cell></row><row r="734"><cell r="M734" t="str"><v>PHx</v></cell><cell r="N734"><v>1</v></cell></row><row r="734"><cell r="Q734" t="str"><v>DICOT</v></cell></row><row r="734"><cell r="S734"><v>26</v></cell></row><row r="735"><cell r="A735" t="str"><v>ROTFIL</v></cell><cell r="B735" t="str"><v>Rotala filiformis</v></cell></row><row r="735"><cell r="E735" t="str"><v>      </v></cell></row><row r="735"><cell r="M735" t="str"><v>PHe</v></cell><cell r="N735"><v>8</v></cell><cell r="O735" t="str"><v>HYD/HEL</v></cell></row><row r="735"><cell r="Q735" t="str"><v>DICOT</v></cell></row><row r="735"><cell r="S735"><v>27</v></cell></row><row r="736"><cell r="A736" t="str"><v>ROTIND</v></cell><cell r="B736" t="str"><v>Rotala indica</v></cell></row><row r="736"><cell r="E736" t="str"><v>      </v></cell></row><row r="736"><cell r="M736" t="str"><v>PHe</v></cell><cell r="N736"><v>8</v></cell><cell r="O736" t="str"><v>HYD/HEL</v></cell></row><row r="736"><cell r="Q736" t="str"><v>DICOT</v></cell></row><row r="736"><cell r="S736"><v>28</v></cell></row><row r="737"><cell r="A737" t="str"><v>RUMAQU</v></cell><cell r="B737" t="str"><v>Rumex aquaticus</v></cell></row><row r="737"><cell r="E737" t="str"><v>L.      </v></cell></row><row r="737"><cell r="M737" t="str"><v>PHg</v></cell><cell r="N737"><v>9</v></cell><cell r="O737" t="str"><v>HYG</v></cell></row><row r="737"><cell r="Q737" t="str"><v>DICOT</v></cell></row><row r="737"><cell r="S737"><v>29</v></cell></row><row r="738"><cell r="A738" t="str"><v>RUMCON</v></cell><cell r="B738" t="str"><v>Rumex conglomeratus</v></cell></row><row r="738"><cell r="E738" t="str"><v>Murray      </v></cell></row><row r="738"><cell r="M738" t="str"><v>PHg</v></cell><cell r="N738"><v>9</v></cell><cell r="O738" t="str"><v>HYG</v></cell></row><row r="738"><cell r="Q738" t="str"><v>DICOT</v></cell></row><row r="738"><cell r="S738"><v>1871</v></cell></row><row r="739"><cell r="A739" t="str"><v>RUMCRI</v></cell><cell r="B739" t="str"><v>Rumex crispus</v></cell></row><row r="739"><cell r="E739" t="str"><v>L.      </v></cell></row><row r="739"><cell r="M739" t="str"><v>PHg</v></cell><cell r="N739"><v>9</v></cell><cell r="O739" t="str"><v>HYG</v></cell></row><row r="739"><cell r="Q739" t="str"><v>DICOT</v></cell></row><row r="739"><cell r="S739"><v>1872</v></cell></row><row r="740"><cell r="A740" t="str"><v>RUMHYD</v></cell><cell r="B740" t="str"><v>Rumex hydrolapathum</v></cell></row><row r="740"><cell r="E740" t="str"><v>Huds.      </v></cell></row><row r="740"><cell r="M740" t="str"><v>PHe</v></cell><cell r="N740"><v>8</v></cell><cell r="O740" t="str"><v>HEL</v></cell></row><row r="740"><cell r="Q740" t="str"><v>DICOT</v></cell></row><row r="740"><cell r="S740"><v>1873</v></cell></row><row r="741"><cell r="A741" t="str"><v>RUMOBT</v></cell><cell r="B741" t="str"><v>Rumex obtusifolius</v></cell></row><row r="741"><cell r="E741" t="str"><v>L.      </v></cell></row><row r="741"><cell r="M741" t="str"><v>PHg</v></cell><cell r="N741"><v>9</v></cell><cell r="O741" t="str"><v>HYG</v></cell></row><row r="741"><cell r="Q741" t="str"><v>DICOT</v></cell></row><row r="741"><cell r="S741"><v>1875</v></cell></row><row r="742"><cell r="A742" t="str"><v>RUMPAL</v></cell><cell r="B742" t="str"><v>Rumex palustris</v></cell></row><row r="742"><cell r="E742" t="str"><v>Sm.      </v></cell></row><row r="742"><cell r="M742" t="str"><v>PHx</v></cell><cell r="N742"><v>1</v></cell></row><row r="742"><cell r="Q742" t="str"><v>DICOT</v></cell></row><row r="742"><cell r="S742"><v>21</v></cell></row><row r="743"><cell r="A743" t="str"><v>RUMSPX</v></cell><cell r="B743" t="str"><v>Rumex sp.</v></cell></row><row r="743"><cell r="E743" t="str"><v>      </v></cell></row><row r="743"><cell r="M743" t="str"><v>PHg</v></cell><cell r="N743"><v>9</v></cell><cell r="O743" t="str"><v>HYG</v></cell></row><row r="743"><cell r="Q743" t="str"><v>DICOT</v></cell></row><row r="743"><cell r="S743"><v>187</v></cell></row><row r="744"><cell r="A744" t="str"><v>RUPCIR</v></cell><cell r="B744" t="str"><v>Ruppia cirrhosa</v></cell></row><row r="744"><cell r="E744" t="str"><v>      </v></cell></row><row r="744"><cell r="M744" t="str"><v>PHy</v></cell><cell r="N744"><v>7</v></cell><cell r="O744" t="str"><v>HYD</v></cell></row><row r="744"><cell r="Q744" t="str"><v>MONOCOT</v></cell></row><row r="744"><cell r="S744"><v>211</v></cell></row><row r="745"><cell r="A745" t="str"><v>RUPDRE</v></cell><cell r="B745" t="str"><v>Ruppia drepanensis</v></cell></row><row r="745"><cell r="E745" t="str"><v>      </v></cell></row><row r="745"><cell r="M745" t="str"><v>PHy</v></cell><cell r="N745"><v>7</v></cell><cell r="O745" t="str"><v>HYD</v></cell></row><row r="745"><cell r="Q745" t="str"><v>MONOCOT</v></cell></row><row r="745"><cell r="S745"><v>212</v></cell></row><row r="746"><cell r="A746" t="str"><v>RUPMAR</v></cell><cell r="B746" t="str"><v>Ruppia maritima</v></cell></row><row r="746"><cell r="E746" t="str"><v>      </v></cell></row><row r="746"><cell r="M746" t="str"><v>PHy</v></cell><cell r="N746"><v>7</v></cell><cell r="O746" t="str"><v>HYD</v></cell></row><row r="746"><cell r="Q746" t="str"><v>MONOCOT</v></cell></row><row r="746"><cell r="S746"><v>1666</v></cell></row><row r="747"><cell r="A747" t="str"><v>SACRAV</v></cell><cell r="B747" t="str"><v>Saccharum ravennae</v></cell></row><row r="747"><cell r="E747" t="str"><v>      </v></cell></row><row r="747"><cell r="M747" t="str"><v>PHx</v></cell><cell r="N747"><v>1</v></cell></row><row r="747"><cell r="Q747" t="str"><v>MONOCOT</v></cell></row><row r="747"><cell r="S747"><v>213</v></cell></row><row r="748"><cell r="A748" t="str"><v>SACSPO</v></cell><cell r="B748" t="str"><v>Saccharum spontaneum</v></cell></row><row r="748"><cell r="E748" t="str"><v>      </v></cell></row><row r="748"><cell r="M748" t="str"><v>PHx</v></cell><cell r="N748"><v>1</v></cell></row><row r="748"><cell r="Q748" t="str"><v>MONOCOT</v></cell></row><row r="748"><cell r="S748"><v>214</v></cell></row><row r="749"><cell r="A749" t="str"><v>SAGLAT</v></cell><cell r="B749" t="str"><v>Sagittaria latifolia</v></cell></row><row r="749"><cell r="E749" t="str"><v>      </v></cell></row><row r="749"><cell r="M749" t="str"><v>PHe</v></cell><cell r="N749"><v>8</v></cell><cell r="O749" t="str"><v>HYD/HEL</v></cell></row><row r="749"><cell r="Q749" t="str"><v>MONOCOT</v></cell></row><row r="749"><cell r="S749"><v>217</v></cell></row><row r="750"><cell r="A750" t="str"><v>SAGNAT</v></cell><cell r="B750" t="str"><v>Sagittaria natans</v></cell></row><row r="750"><cell r="E750" t="str"><v>      </v></cell></row><row r="750"><cell r="M750" t="str"><v>PHe</v></cell><cell r="N750"><v>8</v></cell><cell r="O750" t="str"><v>HYD/HEL</v></cell></row><row r="750"><cell r="Q750" t="str"><v>MONOCOT</v></cell></row><row r="750"><cell r="S750"><v>218</v></cell></row><row r="751"><cell r="A751" t="str"><v>SAGRIG</v></cell><cell r="B751" t="str"><v>Sagittaria rigida</v></cell></row><row r="751"><cell r="E751" t="str"><v>      </v></cell></row><row r="751"><cell r="M751" t="str"><v>PHe</v></cell><cell r="N751"><v>8</v></cell><cell r="O751" t="str"><v>HYD/HEL</v></cell></row><row r="751"><cell r="Q751" t="str"><v>MONOCOT</v></cell></row><row r="751"><cell r="S751"><v>219</v></cell></row><row r="752"><cell r="A752" t="str"><v>SAGSAG</v></cell><cell r="B752" t="str"><v>Sagittaria sagittifolia</v></cell><cell r="C752"><v>6</v></cell><cell r="D752"><v>2</v></cell><cell r="E752" t="str"><v>L.      </v></cell></row><row r="752"><cell r="M752" t="str"><v>PHe</v></cell><cell r="N752"><v>8</v></cell><cell r="O752" t="str"><v>HYD/HEL</v></cell><cell r="P752" t="str"><v>IBMR</v></cell><cell r="Q752" t="str"><v>MONOCOT</v></cell></row><row r="752"><cell r="S752"><v>1453</v></cell></row><row r="753"><cell r="A753" t="str"><v>SAGSUB</v></cell><cell r="B753" t="str"><v>Sagittaria subulata</v></cell></row><row r="753"><cell r="E753" t="str"><v>      </v></cell></row><row r="753"><cell r="M753" t="str"><v>PHe</v></cell><cell r="N753"><v>8</v></cell><cell r="O753" t="str"><v>HYD/HEL</v></cell></row><row r="753"><cell r="Q753" t="str"><v>MONOCOT</v></cell></row><row r="753"><cell r="S753"><v>22</v></cell></row><row r="754"><cell r="A754" t="str"><v>SAIPRO</v></cell><cell r="B754" t="str"><v>Sagina procumbens</v></cell></row><row r="754"><cell r="E754" t="str"><v>L.      </v></cell></row><row r="754"><cell r="M754" t="str"><v>PHx</v></cell><cell r="N754"><v>1</v></cell></row><row r="754"><cell r="Q754" t="str"><v>DICOT</v></cell></row><row r="754"><cell r="S754"><v>1712</v></cell></row><row r="755"><cell r="A755" t="str"><v>SALNAT</v></cell><cell r="B755" t="str"><v>Salvinia natans</v></cell></row><row r="755"><cell r="E755" t="str"><v>(L.) All.     </v></cell></row><row r="755"><cell r="M755" t="str"><v>PTE</v></cell><cell r="N755"><v>6</v></cell></row><row r="755"><cell r="S755"><v>1441</v></cell></row><row r="756"><cell r="A756" t="str"><v>SAMVAL</v></cell><cell r="B756" t="str"><v>Samolus valerandi</v></cell></row><row r="756"><cell r="E756" t="str"><v>L.      </v></cell></row><row r="756"><cell r="M756" t="str"><v>PHe</v></cell><cell r="N756"><v>8</v></cell><cell r="O756" t="str"><v>HYD/HEL</v></cell></row><row r="756"><cell r="Q756" t="str"><v>DICOT</v></cell></row><row r="756"><cell r="S756"><v>1889</v></cell></row><row r="757"><cell r="A757" t="str"><v>SAOVIT</v></cell><cell r="B757" t="str"><v>Saccogyna viticulosa</v></cell></row><row r="757"><cell r="E757" t="str"><v>(L.) Dumort.     </v></cell><cell r="F757" t="str"><v>Jungermannia viticulosa L.</v></cell></row><row r="757"><cell r="M757" t="str"><v>BRh</v></cell><cell r="N757"><v>4</v></cell></row><row r="757"><cell r="S757"><v>215</v></cell></row><row r="758"><cell r="A758" t="str"><v>SCANEM</v></cell><cell r="B758" t="str"><v>Scapania nemorea</v></cell></row><row r="758"><cell r="E758" t="str"><v>(L.) Grolle     </v></cell><cell r="F758" t="str"><v>Scapania nemorosa (L.) Dumort.</v></cell><cell r="G758" t="str"><v>Scapania joergensenii Schiffn.</v></cell><cell r="H758" t="str"><v>Jungermannia nemorea L.</v></cell><cell r="I758" t="str"><v>Martinella nemorosa (Dumort.) Lindb.</v></cell></row><row r="758"><cell r="M758" t="str"><v>BRh</v></cell><cell r="N758"><v>4</v></cell></row><row r="758"><cell r="S758"><v>19673</v></cell></row><row r="759"><cell r="A759" t="str"><v>SCAPAI</v></cell><cell r="B759" t="str"><v>Scapania paludicola</v></cell></row><row r="759"><cell r="E759" t="str"><v>Loeske & Müll. Frib.   </v></cell><cell r="F759" t="str"><v>Scapania rotundata Warnst.</v></cell><cell r="G759" t="str"><v>Martinellia paludicola (Loeske &  Müll. Frib.) C.E.O. Jensen</v></cell></row><row r="759"><cell r="M759" t="str"><v>BRh</v></cell><cell r="N759"><v>4</v></cell></row><row r="759"><cell r="S759"><v>19674</v></cell></row><row r="760"><cell r="A760" t="str"><v>SCAPAL</v></cell><cell r="B760" t="str"><v>Scapania paludosa</v></cell><cell r="C760"><v>20</v></cell><cell r="D760"><v>3</v></cell><cell r="E760" t="str"><v>(Müll. Frib.) Müll. Frib.</v></cell><cell r="F760" t="str"><v>Scapania undulata var. paludosa Müll. Frib.</v></cell><cell r="G760" t="str"><v>Martinellia paludosa (Müll. Frib.) Arnell & C.E.O. Jensen</v></cell></row><row r="760"><cell r="M760" t="str"><v>BRh</v></cell><cell r="N760"><v>4</v></cell></row><row r="760"><cell r="P760" t="str"><v>IBMR</v></cell></row><row r="760"><cell r="S760"><v>128</v></cell></row><row r="761"><cell r="A761" t="str"><v>SCASPX</v></cell><cell r="B761" t="str"><v>Scapania sp.</v></cell></row><row r="761"><cell r="E761" t="str"><v>(Dumort.) Dumort.</v></cell></row><row r="761"><cell r="M761" t="str"><v>BRh</v></cell><cell r="N761"><v>4</v></cell></row><row r="761"><cell r="S761"><v>1212</v></cell></row><row r="762"><cell r="A762" t="str"><v>SCAULI</v></cell><cell r="B762" t="str"><v>Scapania uliginosa</v></cell></row><row r="762"><cell r="E762" t="str"><v>(Sw. ex Lindenb.) Dumort.</v></cell><cell r="F762" t="str"><v>Scapania obliqua (Arnell) Schiffn.</v></cell><cell r="G762" t="str"><v>Martinellia obliqua Arnell</v></cell><cell r="H762" t="str"><v>Martinellia uliginosa (Sw. ex Lindenb.) Lindb.</v></cell><cell r="I762" t="str"><v>Jungermannia uliginosa Sw. ex Lindenb.</v></cell></row><row r="762"><cell r="M762" t="str"><v>BRh</v></cell><cell r="N762"><v>4</v></cell></row><row r="762"><cell r="S762"><v>19676</v></cell></row><row r="763"><cell r="A763" t="str"><v>SCAUND</v></cell><cell r="B763" t="str"><v>Scapania undulata</v></cell><cell r="C763"><v>17</v></cell><cell r="D763"><v>3</v></cell><cell r="E763" t="str"><v>(L.) Dumort.    </v></cell><cell r="F763" t="str"><v>Scapania dentata (Dumort.) Dumort.</v></cell><cell r="G763" t="str"><v>Scapania intermedia (Husn.) Pearson</v></cell><cell r="H763" t="str"><v>Scapania oakesii Austin</v></cell><cell r="I763" t="str"><v>Scapania resupinata (L.) Dumort.</v></cell><cell r="J763" t="str"><v>Martinellia undulata (L.) Gray</v></cell><cell r="K763" t="str"><v>Jungermannia undulata L.</v></cell></row><row r="763"><cell r="M763" t="str"><v>BRh</v></cell><cell r="N763"><v>4</v></cell></row><row r="763"><cell r="P763" t="str"><v>IBMR</v></cell></row><row r="763"><cell r="S763"><v>1213</v></cell></row><row r="764"><cell r="A764" t="str"><v>SCEPAL</v></cell><cell r="B764" t="str"><v>Scheuchzeria palustris</v></cell></row><row r="764"><cell r="E764" t="str"><v>      </v></cell></row><row r="764"><cell r="M764" t="str"><v>PHg</v></cell><cell r="N764"><v>9</v></cell><cell r="O764" t="str"><v>HYG</v></cell></row><row r="764"><cell r="Q764" t="str"><v>MONOCOT</v></cell></row><row r="764"><cell r="S764"><v>19677</v></cell></row><row r="765"><cell r="A765" t="str"><v>SCHSPX</v></cell><cell r="B765" t="str"><v>Schizomeris sp.</v></cell><cell r="C765"><v>1</v></cell><cell r="D765"><v>3</v></cell><cell r="E765" t="str"><v>Kützing      </v></cell></row><row r="765"><cell r="M765" t="str"><v>ALG</v></cell><cell r="N765"><v>2</v></cell></row><row r="765"><cell r="P765" t="str"><v>IBMR</v></cell></row><row r="765"><cell r="S765"><v>5578</v></cell></row><row r="766"><cell r="A766" t="str"><v>SCIFLU</v></cell><cell r="B766" t="str"><v>Scirpus fluitans</v></cell><cell r="C766"><v>18</v></cell><cell r="D766"><v>3</v></cell><cell r="E766" t="str"><v>L.      </v></cell><cell r="F766" t="str"><v>Eleogiton fluitans</v></cell><cell r="G766" t="str"><v>Isolepis fluitans L.</v></cell></row><row r="766"><cell r="M766" t="str"><v>PHy</v></cell><cell r="N766"><v>7</v></cell><cell r="O766" t="str"><v>HYD</v></cell><cell r="P766" t="str"><v>IBMR</v></cell><cell r="Q766" t="str"><v>MONOCOT</v></cell></row><row r="766"><cell r="S766"><v>1518</v></cell></row><row r="767"><cell r="A767" t="str"><v>SCILAC</v></cell><cell r="B767" t="str"><v>Scirpus lacustris</v></cell><cell r="C767"><v>8</v></cell><cell r="D767"><v>2</v></cell><cell r="E767" t="str"><v>L.      </v></cell><cell r="F767" t="str"><v>Schoenoplectus lacustris</v></cell></row><row r="767"><cell r="M767" t="str"><v>PHe</v></cell><cell r="N767"><v>8</v></cell><cell r="O767" t="str"><v>HYD/HEL</v></cell><cell r="P767" t="str"><v>IBMR</v></cell><cell r="Q767" t="str"><v>MONOCOT</v></cell></row><row r="767"><cell r="S767"><v>152</v></cell></row><row r="768"><cell r="A768" t="str"><v>SCIMAR</v></cell><cell r="B768" t="str"><v>Scirpus maritimus</v></cell></row><row r="768"><cell r="E768" t="str"><v>L.      </v></cell></row><row r="768"><cell r="M768" t="str"><v>PHx</v></cell><cell r="N768"><v>1</v></cell></row><row r="768"><cell r="Q768" t="str"><v>MONOCOT</v></cell></row><row r="768"><cell r="S768"><v>1522</v></cell></row><row r="769"><cell r="A769" t="str"><v>SCISPX</v></cell><cell r="B769" t="str"><v>Scirpus sp.</v></cell></row><row r="769"><cell r="E769" t="str"><v>      </v></cell></row><row r="769"><cell r="M769" t="str"><v>PHe</v></cell><cell r="N769"><v>8</v></cell><cell r="O769" t="str"><v>HYD/HEL</v></cell></row><row r="769"><cell r="Q769" t="str"><v>MONOCOT</v></cell></row><row r="769"><cell r="S769"><v>1515</v></cell></row><row r="770"><cell r="A770" t="str"><v>SCISYL</v></cell><cell r="B770" t="str"><v>Scirpus sylvaticus</v></cell><cell r="C770"><v>10</v></cell><cell r="D770"><v>2</v></cell><cell r="E770" t="str"><v>L.      </v></cell></row><row r="770"><cell r="M770" t="str"><v>PHe</v></cell><cell r="N770"><v>8</v></cell><cell r="O770" t="str"><v>HYG/HEL</v></cell><cell r="P770" t="str"><v>IBMR</v></cell><cell r="Q770" t="str"><v>MONOCOT</v></cell></row><row r="770"><cell r="S770"><v>1525</v></cell></row><row r="771"><cell r="A771" t="str"><v>SCITRI</v></cell><cell r="B771" t="str"><v>Scirpus triquetrus</v></cell></row><row r="771"><cell r="E771" t="str"><v>      </v></cell></row><row r="771"><cell r="M771" t="str"><v>PHe</v></cell><cell r="N771"><v>8</v></cell><cell r="O771" t="str"><v>HEL</v></cell></row><row r="771"><cell r="Q771" t="str"><v>MONOCOT</v></cell></row><row r="771"><cell r="S771"><v>1527</v></cell></row><row r="772"><cell r="A772" t="str"><v>SCNPUN</v></cell><cell r="B772" t="str"><v>Schoenoplectus pungens</v></cell></row><row r="772"><cell r="E772" t="str"><v>      </v></cell></row><row r="772"><cell r="M772" t="str"><v>PHe</v></cell><cell r="N772"><v>8</v></cell><cell r="O772" t="str"><v>HYD/HEL</v></cell></row><row r="772"><cell r="Q772" t="str"><v>MONOCOT</v></cell></row><row r="772"><cell r="S772"><v>1968</v></cell></row><row r="773"><cell r="A773" t="str"><v>SCNSUP</v></cell><cell r="B773" t="str"><v>Schoenoplectus supinus</v></cell></row><row r="773"><cell r="E773" t="str"><v>      </v></cell></row><row r="773"><cell r="M773" t="str"><v>PHe</v></cell><cell r="N773"><v>8</v></cell><cell r="O773" t="str"><v>HYD/HEL</v></cell></row><row r="773"><cell r="Q773" t="str"><v>MONOCOT</v></cell></row><row r="773"><cell r="S773"><v>19682</v></cell></row><row r="774"><cell r="A774" t="str"><v>SCNTAB</v></cell><cell r="B774" t="str"><v>Schoenoplectus tabernaemontani</v></cell></row><row r="774"><cell r="E774" t="str"><v>      </v></cell><cell r="F774" t="str"><v>Scirpus tabernaemontani </v></cell></row><row r="774"><cell r="M774" t="str"><v>PHe</v></cell><cell r="N774"><v>8</v></cell><cell r="O774" t="str"><v>HYD/HEL</v></cell></row><row r="774"><cell r="Q774" t="str"><v>MONOCOT</v></cell></row><row r="774"><cell r="S774"><v>29933</v></cell></row><row r="775"><cell r="A775" t="str"><v>SCOFES</v></cell><cell r="B775" t="str"><v>Scolochloa festucacea</v></cell></row><row r="775"><cell r="E775" t="str"><v>      </v></cell></row><row r="775"><cell r="M775" t="str"><v>PHx</v></cell><cell r="N775"><v>1</v></cell></row><row r="775"><cell r="Q775" t="str"><v>MONOCOT</v></cell></row><row r="775"><cell r="S775"><v>19686</v></cell></row><row r="776"><cell r="A776" t="str"><v>SCPHOL</v></cell><cell r="B776" t="str"><v>Scirpoides holoschoenus</v></cell></row><row r="776"><cell r="E776" t="str"><v>      </v></cell></row><row r="776"><cell r="M776" t="str"><v>PHe</v></cell><cell r="N776"><v>8</v></cell><cell r="O776" t="str"><v>HEL</v></cell></row><row r="776"><cell r="Q776" t="str"><v>MONOCOT</v></cell></row><row r="776"><cell r="S776" t="str"><v>Pas de cd_sandre</v></cell></row><row r="777"><cell r="A777" t="str"><v>SCRAUR</v></cell><cell r="B777" t="str"><v>Scrophularia auriculata</v></cell></row><row r="777"><cell r="E777" t="str"><v>L.      </v></cell></row><row r="777"><cell r="M777" t="str"><v>PHg</v></cell><cell r="N777"><v>9</v></cell><cell r="O777" t="str"><v>HYG/HEL</v></cell></row><row r="777"><cell r="Q777" t="str"><v>DICOT</v></cell></row><row r="777"><cell r="S777"><v>195</v></cell></row><row r="778"><cell r="A778" t="str"><v>SCRNOD</v></cell><cell r="B778" t="str"><v>Scrophularia nodosa</v></cell></row><row r="778"><cell r="E778" t="str"><v>L.      </v></cell></row><row r="778"><cell r="M778" t="str"><v>PHg</v></cell><cell r="N778"><v>9</v></cell><cell r="O778" t="str"><v>HYG/HEL</v></cell></row><row r="778"><cell r="Q778" t="str"><v>DICOT</v></cell></row><row r="778"><cell r="S778"><v>1952</v></cell></row><row r="779"><cell r="A779" t="str"><v>SCRSPX</v></cell><cell r="B779" t="str"><v>Scrophularia sp.</v></cell></row><row r="779"><cell r="E779" t="str"><v>      </v></cell></row><row r="779"><cell r="M779" t="str"><v>PHg</v></cell><cell r="N779"><v>9</v></cell><cell r="O779" t="str"><v>HYG/HEL</v></cell></row><row r="779"><cell r="Q779" t="str"><v>DICOT</v></cell></row><row r="779"><cell r="S779"><v>1949</v></cell></row><row r="780"><cell r="A780" t="str"><v>SCRUMB</v></cell><cell r="B780" t="str"><v>Scrophularia umbrosa</v></cell></row><row r="780"><cell r="E780" t="str"><v>Dum.      </v></cell></row><row r="780"><cell r="M780" t="str"><v>PHg</v></cell><cell r="N780"><v>9</v></cell><cell r="O780" t="str"><v>HYG/HEL</v></cell></row><row r="780"><cell r="Q780" t="str"><v>DICOT</v></cell></row><row r="780"><cell r="S780"><v>1953</v></cell></row><row r="781"><cell r="A781" t="str"><v>SCSAGA</v></cell><cell r="B781" t="str"><v>Schistidium agassizii</v></cell></row><row r="781"><cell r="E781" t="str"><v>Sull. & Lesq.    </v></cell><cell r="F781" t="str"><v>Grimmia agassizii (Sull. & Lesq.) Jaeg.</v></cell><cell r="G781" t="str"><v>Grimmia alpicola Hedw.</v></cell><cell r="H781" t="str"><v>Schistidium alpicola (Hedw.) Limpr.</v></cell></row><row r="781"><cell r="M781" t="str"><v>BRm</v></cell><cell r="N781"><v>5</v></cell></row><row r="781"><cell r="S781"><v>1325</v></cell></row><row r="782"><cell r="A782" t="str"><v>SCSRIV</v></cell><cell r="B782" t="str"><v>Schistidium rivulare</v></cell><cell r="C782"><v>15</v></cell><cell r="D782"><v>3</v></cell><cell r="E782" t="str"><v>(Brid.) Podp.</v></cell><cell r="F782" t="str"><v>Schistidium alpicola auct.</v></cell><cell r="G782" t="str"><v>Schistidium helveticum (Schkuhr) Deguchi</v></cell><cell r="H782" t="str"><v>Grimmia alpicola Auct.</v></cell></row><row r="782"><cell r="M782" t="str"><v>BRm</v></cell><cell r="N782"><v>5</v></cell></row><row r="782"><cell r="P782" t="str"><v>IBMR</v></cell></row><row r="782"><cell r="S782"><v>1327</v></cell></row><row r="783"><cell r="A783" t="str"><v>SCSSPX</v></cell><cell r="B783" t="str"><v>Schistidium sp.</v></cell></row><row r="783"><cell r="E783" t="str"><v>Brid.</v></cell></row><row r="783"><cell r="M783" t="str"><v>BRm</v></cell><cell r="N783"><v>5</v></cell></row><row r="783"><cell r="S783"><v>1324</v></cell></row><row r="784"><cell r="A784" t="str"><v>SCUGAL</v></cell><cell r="B784" t="str"><v>Scutellaria galericulata</v></cell></row><row r="784"><cell r="E784" t="str"><v>L.      </v></cell></row><row r="784"><cell r="M784" t="str"><v>PHg</v></cell><cell r="N784"><v>9</v></cell><cell r="O784" t="str"><v>HYG/HEL</v></cell></row><row r="784"><cell r="Q784" t="str"><v>DICOT</v></cell></row><row r="784"><cell r="S784"><v>1796</v></cell></row><row r="785"><cell r="A785" t="str"><v>SCYSPX</v></cell><cell r="B785" t="str"><v>Scytonema sp.</v></cell></row><row r="785"><cell r="E785" t="str"><v>C. Agardh      </v></cell></row><row r="785"><cell r="M785" t="str"><v>ALG</v></cell><cell r="N785"><v>2</v></cell></row><row r="785"><cell r="S785"><v>1114</v></cell></row><row r="786"><cell r="A786" t="str"><v>SCZSPX</v></cell><cell r="B786" t="str"><v>Schizothrix sp.</v></cell></row><row r="786"><cell r="E786" t="str"><v>Kützing      </v></cell></row><row r="786"><cell r="M786" t="str"><v>ALG</v></cell><cell r="N786"><v>2</v></cell></row><row r="786"><cell r="S786"><v>6436</v></cell></row><row r="787"><cell r="A787" t="str"><v>SENAQU</v></cell><cell r="B787" t="str"><v>Senecio aquaticus</v></cell></row><row r="787"><cell r="E787" t="str"><v>Hill.      </v></cell></row><row r="787"><cell r="M787" t="str"><v>PHg</v></cell><cell r="N787"><v>9</v></cell><cell r="O787" t="str"><v>HYG/HEL</v></cell></row><row r="787"><cell r="Q787" t="str"><v>DICOT</v></cell></row><row r="787"><cell r="S787"><v>175</v></cell></row><row r="788"><cell r="A788" t="str"><v>SENSPX</v></cell><cell r="B788" t="str"><v>Senecio sp.</v></cell></row><row r="788"><cell r="E788" t="str"><v>      </v></cell></row><row r="788"><cell r="M788" t="str"><v>PHg</v></cell><cell r="N788"><v>9</v></cell><cell r="O788" t="str"><v>HYG/HEL</v></cell></row><row r="788"><cell r="Q788" t="str"><v>DICOT</v></cell></row><row r="788"><cell r="S788"><v>1749</v></cell></row><row r="789"><cell r="A789" t="str"><v>SHIRIV</v></cell><cell r="B789" t="str"><v>Shinnersia rivularis</v></cell></row><row r="789"><cell r="E789" t="str"><v>      </v></cell></row><row r="789"><cell r="M789" t="str"><v>PHe</v></cell><cell r="N789"><v>8</v></cell><cell r="O789" t="str"><v>HYD/HEL</v></cell></row><row r="789"><cell r="Q789" t="str"><v>DICOT</v></cell></row><row r="789"><cell r="S789"><v>1969</v></cell></row><row r="790"><cell r="A790" t="str"><v>SIBEUR</v></cell><cell r="B790" t="str"><v>Sibthorpia europaea</v></cell></row><row r="790"><cell r="E790" t="str"><v>L.      </v></cell></row><row r="790"><cell r="M790" t="str"><v>PHx</v></cell><cell r="N790"><v>1</v></cell></row><row r="790"><cell r="Q790" t="str"><v>DICOT</v></cell></row><row r="790"><cell r="S790"><v>19691</v></cell></row><row r="791"><cell r="A791" t="str"><v>SIRSPX</v></cell><cell r="B791" t="str"><v>Sirogonium sp.</v></cell><cell r="C791"><v>12</v></cell><cell r="D791"><v>2</v></cell><cell r="E791" t="str"><v>Kützing      </v></cell></row><row r="791"><cell r="M791" t="str"><v>ALG</v></cell><cell r="N791"><v>2</v></cell></row><row r="791"><cell r="P791" t="str"><v>IBMR</v></cell></row><row r="791"><cell r="S791"><v>5292</v></cell></row><row r="792"><cell r="A792" t="str"><v>SIULAT</v></cell><cell r="B792" t="str"><v>Sium latifolium</v></cell></row><row r="792"><cell r="E792" t="str"><v>L.      </v></cell></row><row r="792"><cell r="M792" t="str"><v>PHg</v></cell><cell r="N792"><v>9</v></cell><cell r="O792" t="str"><v>HYG/HEL</v></cell></row><row r="792"><cell r="Q792" t="str"><v>DICOT</v></cell></row><row r="792"><cell r="S792"><v>1997</v></cell></row><row r="793"><cell r="A793" t="str"><v>SIUSPX</v></cell><cell r="B793" t="str"><v>Sium sp.</v></cell></row><row r="793"><cell r="E793" t="str"><v>      </v></cell></row><row r="793"><cell r="M793" t="str"><v>PHg</v></cell><cell r="N793"><v>9</v></cell><cell r="O793" t="str"><v>HYG/HEL</v></cell></row><row r="793"><cell r="Q793" t="str"><v>DICOT</v></cell></row><row r="793"><cell r="S793"><v>1995</v></cell></row><row r="794"><cell r="A794" t="str"><v>SOADUL</v></cell><cell r="B794" t="str"><v>Solanum dulcamara</v></cell></row><row r="794"><cell r="E794" t="str"><v>L.      </v></cell></row><row r="794"><cell r="M794" t="str"><v>PHg</v></cell><cell r="N794"><v>9</v></cell><cell r="O794" t="str"><v>HYG/HEL</v></cell></row><row r="794"><cell r="Q794" t="str"><v>DICOT</v></cell></row><row r="794"><cell r="S794"><v>1964</v></cell></row><row r="795"><cell r="A795" t="str"><v>SPAANE</v></cell><cell r="B795" t="str"><v>Sparganium angustifolium x emersum</v></cell></row><row r="795"><cell r="E795" t="str"><v>      </v></cell></row><row r="795"><cell r="M795" t="str"><v>PHy</v></cell><cell r="N795"><v>7</v></cell><cell r="O795" t="str"><v>HYD</v></cell></row><row r="795"><cell r="Q795" t="str"><v>MONOCOT</v></cell></row><row r="795"><cell r="S795"><v>19692</v></cell></row><row r="796"><cell r="A796" t="str"><v>SPAANG</v></cell><cell r="B796" t="str"><v>Sparganium angustifolium</v></cell><cell r="C796"><v>19</v></cell><cell r="D796"><v>3</v></cell><cell r="E796" t="str"><v>Michaux      </v></cell></row><row r="796"><cell r="M796" t="str"><v>PHy</v></cell><cell r="N796"><v>7</v></cell><cell r="O796" t="str"><v>HYD</v></cell><cell r="P796" t="str"><v>IBMR</v></cell><cell r="Q796" t="str"><v>MONOCOT</v></cell></row><row r="796"><cell r="S796"><v>1669</v></cell></row><row r="797"><cell r="A797" t="str"><v>SPAEMC</v></cell><cell r="B797" t="str"><v>Sparganium emersum fo. brevifolium</v></cell><cell r="C797"><v>13</v></cell><cell r="D797"><v>2</v></cell><cell r="E797" t="str"><v>Rehmann      </v></cell></row><row r="797"><cell r="M797" t="str"><v>PHy</v></cell><cell r="N797"><v>7</v></cell><cell r="O797" t="str"><v>HYD</v></cell><cell r="P797" t="str"><v>IBMR</v></cell><cell r="Q797" t="str"><v>MONOCOT</v></cell></row><row r="797"><cell r="S797"><v>19694</v></cell></row><row r="798"><cell r="A798" t="str"><v>SPAEML</v></cell><cell r="B798" t="str"><v>Sparganium emersum fo. longifolium</v></cell><cell r="C798"><v>7</v></cell><cell r="D798"><v>1</v></cell><cell r="E798" t="str"><v>Rehmann      </v></cell></row><row r="798"><cell r="M798" t="str"><v>PHy</v></cell><cell r="N798"><v>7</v></cell><cell r="O798" t="str"><v>HYD</v></cell><cell r="P798" t="str"><v>IBMR</v></cell><cell r="Q798" t="str"><v>MONOCOT</v></cell></row><row r="798"><cell r="S798"><v>19695</v></cell></row><row r="799"><cell r="A799" t="str"><v>SPAERE</v></cell><cell r="B799" t="str"><v>Sparganium erectum</v></cell><cell r="C799"><v>10</v></cell><cell r="D799"><v>1</v></cell><cell r="E799" t="str"><v>L.      </v></cell></row><row r="799"><cell r="M799" t="str"><v>PHe</v></cell><cell r="N799"><v>8</v></cell><cell r="O799" t="str"><v>HYD/HEL</v></cell><cell r="P799" t="str"><v>IBMR</v></cell><cell r="Q799" t="str"><v>MONOCOT</v></cell></row><row r="799"><cell r="S799"><v>1671</v></cell></row><row r="800"><cell r="A800" t="str"><v>SPAERR</v></cell><cell r="B800" t="str"><v>Sparganium erectum subsp. erectum</v></cell><cell r="C800"><v>10</v></cell><cell r="D800"><v>1</v></cell><cell r="E800" t="str"><v>      </v></cell></row><row r="800"><cell r="M800" t="str"><v>PHe</v></cell><cell r="N800"><v>8</v></cell><cell r="O800" t="str"><v>HYD/HEL</v></cell></row><row r="800"><cell r="Q800" t="str"><v>MONOCOT</v></cell></row><row r="800"><cell r="S800"><v>19696</v></cell></row><row r="801"><cell r="A801" t="str"><v>SPAGLO</v></cell><cell r="B801" t="str"><v>Sparganium glomeratum</v></cell></row><row r="801"><cell r="E801" t="str"><v>      </v></cell></row><row r="801"><cell r="M801" t="str"><v>PHx</v></cell><cell r="N801"><v>1</v></cell></row><row r="801"><cell r="Q801" t="str"><v>MONOCOT</v></cell></row><row r="801"><cell r="S801"><v>197</v></cell></row><row r="802"><cell r="A802" t="str"><v>SPAGRA</v></cell><cell r="B802" t="str"><v>Sparganium gramineum</v></cell></row><row r="802"><cell r="E802" t="str"><v>      </v></cell></row><row r="802"><cell r="M802" t="str"><v>PHx</v></cell><cell r="N802"><v>1</v></cell></row><row r="802"><cell r="Q802" t="str"><v>MONOCOT</v></cell></row><row r="802"><cell r="S802"><v>1971</v></cell></row><row r="803"><cell r="A803" t="str"><v>SPAHYP</v></cell><cell r="B803" t="str"><v>Sparganium hyperboreum</v></cell></row><row r="803"><cell r="E803" t="str"><v>      </v></cell></row><row r="803"><cell r="M803" t="str"><v>PHx</v></cell><cell r="N803"><v>1</v></cell></row><row r="803"><cell r="Q803" t="str"><v>MONOCOT</v></cell></row><row r="803"><cell r="S803"><v>1972</v></cell></row><row r="804"><cell r="A804" t="str"><v>SPAMIC</v></cell><cell r="B804" t="str"><v>Sparganium erectum subsp. microcarpum</v></cell><cell r="C804"><v>10</v></cell><cell r="D804"><v>1</v></cell><cell r="E804" t="str"><v>      </v></cell></row><row r="804"><cell r="M804" t="str"><v>PHe</v></cell><cell r="N804"><v>8</v></cell><cell r="O804" t="str"><v>HYD/HEL</v></cell></row><row r="804"><cell r="Q804" t="str"><v>MONOCOT</v></cell></row><row r="804"><cell r="S804"><v>19697</v></cell></row><row r="805"><cell r="A805" t="str"><v>SPAMIN</v></cell><cell r="B805" t="str"><v>Sparganium minimum</v></cell><cell r="C805"><v>15</v></cell><cell r="D805"><v>3</v></cell><cell r="E805" t="str"><v>Wallr      </v></cell></row><row r="805"><cell r="M805" t="str"><v>PHy</v></cell><cell r="N805"><v>7</v></cell><cell r="O805" t="str"><v>HYD</v></cell><cell r="P805" t="str"><v>IBMR</v></cell><cell r="Q805" t="str"><v>MONOCOT</v></cell></row><row r="805"><cell r="S805"><v>1672</v></cell></row><row r="806"><cell r="A806" t="str"><v>SPANAT</v></cell><cell r="B806" t="str"><v>Sparganium natans</v></cell></row><row r="806"><cell r="E806" t="str"><v>L.      </v></cell></row><row r="806"><cell r="M806" t="str"><v>PHx</v></cell><cell r="N806"><v>1</v></cell></row><row r="806"><cell r="Q806" t="str"><v>MONOCOT</v></cell></row><row r="806"><cell r="S806"><v>1973</v></cell></row><row r="807"><cell r="A807" t="str"><v>SPANEG</v></cell><cell r="B807" t="str"><v>Sparganium erectum subsp. neglectum</v></cell><cell r="C807"><v>10</v></cell><cell r="D807"><v>1</v></cell><cell r="E807" t="str"><v>      </v></cell></row><row r="807"><cell r="M807" t="str"><v>PHe</v></cell><cell r="N807"><v>8</v></cell><cell r="O807" t="str"><v>HYD/HEL</v></cell></row><row r="807"><cell r="Q807" t="str"><v>MONOCOT</v></cell></row><row r="807"><cell r="S807"><v>19698</v></cell></row><row r="808"><cell r="A808" t="str"><v>SPAOOC</v></cell><cell r="B808" t="str"><v>Sparganium erectum subsp. oocarpum</v></cell><cell r="C808"><v>10</v></cell><cell r="D808"><v>1</v></cell><cell r="E808" t="str"><v>      </v></cell></row><row r="808"><cell r="M808" t="str"><v>PHe</v></cell><cell r="N808"><v>8</v></cell><cell r="O808" t="str"><v>HYD/HEL</v></cell></row><row r="808"><cell r="Q808" t="str"><v>MONOCOT</v></cell></row><row r="808"><cell r="S808"><v>19699</v></cell></row><row r="809"><cell r="A809" t="str"><v>SPASPX</v></cell><cell r="B809" t="str"><v>Sparganium sp.</v></cell></row><row r="809"><cell r="E809" t="str"><v>      </v></cell></row><row r="809"><cell r="M809" t="str"><v>PHy</v></cell><cell r="N809"><v>7</v></cell></row><row r="809"><cell r="Q809" t="str"><v>MONOCOT</v></cell></row><row r="809"><cell r="S809"><v>1668</v></cell></row><row r="810"><cell r="A810" t="str"><v>SPESPX</v></cell><cell r="B810" t="str"><v>Sphaerocystis sp.</v></cell></row><row r="810"><cell r="E810" t="str"><v>Chodat      </v></cell></row><row r="810"><cell r="M810" t="str"><v>ALG</v></cell><cell r="N810"><v>2</v></cell></row><row r="810"><cell r="S810"><v>5878</v></cell></row><row r="811"><cell r="A811" t="str"><v>SPHANG</v></cell><cell r="B811" t="str"><v>Sphagnum angustifolium</v></cell></row><row r="811"><cell r="E811" t="str"><v>(C. Jens. ex Russ.) C. Jens. </v></cell><cell r="F811" t="str"><v>Sphagnum parvifolium (Warnst.) Warnst.</v></cell><cell r="G811" t="str"><v>Sphagnum recurvum var. tenue Klinggr.</v></cell></row><row r="811"><cell r="M811" t="str"><v>BRm</v></cell><cell r="N811"><v>5</v></cell></row><row r="811"><cell r="S811"><v>1975</v></cell></row><row r="812"><cell r="A812" t="str"><v>SPHCAP</v></cell><cell r="B812" t="str"><v>Sphagnum capillifolium</v></cell></row><row r="812"><cell r="E812" t="str"><v>(Ehrh.) Hedw.     </v></cell><cell r="F812" t="str"><v>Sphagnum acutifolium Ehrh. ex Schrad.</v></cell><cell r="G812" t="str"><v>Sphagnum capillaceum (Weiss) Schrank</v></cell><cell r="H812" t="str"><v>Sphagnum nemoreum auct.</v></cell><cell r="I812" t="str"><v>Sphagnum subtile (Russ.) Warnst.</v></cell></row><row r="812"><cell r="M812" t="str"><v>BRm</v></cell><cell r="N812"><v>5</v></cell></row><row r="812"><cell r="S812"><v>1976</v></cell></row><row r="813"><cell r="A813" t="str"><v>SPHDEN</v></cell><cell r="B813" t="str"><v>Sphagnum denticulatum</v></cell><cell r="C813"><v>20</v></cell><cell r="D813"><v>3</v></cell><cell r="E813" t="str"><v>Brid.      </v></cell><cell r="F813" t="str"><v>Sphagnum gr. inundatum</v></cell><cell r="G813" t="str"><v>Sphagnum lescurii Sull.</v></cell><cell r="H813" t="str"><v>Sphagnum auriculatum Schimp.</v></cell><cell r="I813" t="str"><v>Sphagnum rufescens (Nees & Hornsch.) Warnst.</v></cell></row><row r="813"><cell r="M813" t="str"><v>BRm</v></cell><cell r="N813"><v>5</v></cell></row><row r="813"><cell r="P813" t="str"><v>IBMR</v></cell></row><row r="813"><cell r="S813"><v>127</v></cell></row><row r="814"><cell r="A814" t="str"><v>SPHFAL</v></cell><cell r="B814" t="str"><v>Sphagnum fallax</v></cell></row><row r="814"><cell r="E814" t="str"><v>(Klinggr.) Klinggr.   </v></cell><cell r="F814" t="str"><v>Sphagnum apiculatum Lindb.</v></cell><cell r="G814" t="str"><v>Sphagnum recurvum var. mucronatum Russ.</v></cell></row><row r="814"><cell r="M814" t="str"><v>BRm</v></cell><cell r="N814"><v>5</v></cell></row><row r="814"><cell r="S814"><v>1977</v></cell></row><row r="815"><cell r="A815" t="str"><v>SPHFIM</v></cell><cell r="B815" t="str"><v>Sphagnum fimbriatum</v></cell></row><row r="815"><cell r="E815" t="str"><v>Wils.      </v></cell></row><row r="815"><cell r="M815" t="str"><v>BRm</v></cell><cell r="N815"><v>5</v></cell></row><row r="815"><cell r="S815"><v>1978</v></cell></row><row r="816"><cell r="A816" t="str"><v>SPHFLE</v></cell><cell r="B816" t="str"><v>Sphagnum flexuosum</v></cell></row><row r="816"><cell r="E816" t="str"><v>Dozy & Molk.    </v></cell><cell r="F816" t="str"><v>Sphagnum amblyphyllum (Russ.) Zick.</v></cell><cell r="G816" t="str"><v>Sphagnum recurvum var. majus (Angstr. ex Warnst.) Warnst.</v></cell></row><row r="816"><cell r="M816" t="str"><v>BRm</v></cell><cell r="N816"><v>5</v></cell></row><row r="816"><cell r="S816"><v>1979</v></cell></row><row r="817"><cell r="A817" t="str"><v>SPHPAL</v></cell><cell r="B817" t="str"><v>Sphagnum palustre</v></cell><cell r="C817"><v>20</v></cell><cell r="D817"><v>3</v></cell><cell r="E817" t="str"><v>L.      </v></cell></row><row r="817"><cell r="M817" t="str"><v>BRm</v></cell><cell r="N817"><v>5</v></cell></row><row r="817"><cell r="P817" t="str"><v>IBMR</v></cell></row><row r="817"><cell r="S817"><v>1377</v></cell></row><row r="818"><cell r="A818" t="str"><v>SPHPAP</v></cell><cell r="B818" t="str"><v>Sphagnum papillosum var. laeve</v></cell></row><row r="818"><cell r="E818" t="str"><v>Warnst.</v></cell><cell r="F818" t="str"><v>Sphagnum hakkodense Warnst. & Card. var. laeve</v></cell></row><row r="818"><cell r="M818" t="str"><v>BRm</v></cell><cell r="N818"><v>5</v></cell></row><row r="818"><cell r="S818"><v>1971</v></cell></row><row r="819"><cell r="A819" t="str"><v>SPHSPX</v></cell><cell r="B819" t="str"><v>Sphagnum sp.</v></cell></row><row r="819"><cell r="E819" t="str"><v>L.      </v></cell></row><row r="819"><cell r="M819" t="str"><v>BRm</v></cell><cell r="N819"><v>5</v></cell></row><row r="819"><cell r="S819"><v>1374</v></cell></row><row r="820"><cell r="A820" t="str"><v>SPHSUB</v></cell><cell r="B820" t="str"><v>Sphagnum subsecundum</v></cell></row><row r="820"><cell r="E820" t="str"><v>Nees      </v></cell></row><row r="820"><cell r="M820" t="str"><v>BRm</v></cell><cell r="N820"><v>5</v></cell></row><row r="820"><cell r="S820"><v>19711</v></cell></row><row r="821"><cell r="A821" t="str"><v>SPISPX</v></cell><cell r="B821" t="str"><v>Spirogyra sp.</v></cell><cell r="C821"><v>10</v></cell><cell r="D821"><v>1</v></cell><cell r="E821" t="str"><v>Link      </v></cell></row><row r="821"><cell r="M821" t="str"><v>ALG</v></cell><cell r="N821"><v>2</v></cell></row><row r="821"><cell r="P821" t="str"><v>IBMR</v></cell></row><row r="821"><cell r="S821"><v>1147</v></cell></row><row r="822"><cell r="A822" t="str"><v>SPRPOL</v></cell><cell r="B822" t="str"><v>Spirodela polyrhiza</v></cell><cell r="C822"><v>6</v></cell><cell r="D822"><v>2</v></cell><cell r="E822" t="str"><v>(L.) Schleiden     </v></cell></row><row r="822"><cell r="M822" t="str"><v>PHy</v></cell><cell r="N822"><v>7</v></cell><cell r="O822" t="str"><v>HYD</v></cell><cell r="P822" t="str"><v>IBMR</v></cell><cell r="Q822" t="str"><v>MONOCOT</v></cell></row><row r="822"><cell r="S822"><v>163</v></cell></row><row r="823"><cell r="A823" t="str"><v>SPTSPX</v></cell><cell r="B823" t="str"><v>Sphaerotilus sp.</v></cell><cell r="C823"><v>0</v></cell><cell r="D823"><v>3</v></cell><cell r="E823" t="str"><v>      </v></cell></row><row r="823"><cell r="M823" t="str"><v>HET</v></cell><cell r="N823"><v>1</v></cell></row><row r="823"><cell r="P823" t="str"><v>IBMR</v></cell></row><row r="823"><cell r="S823"><v>193</v></cell></row><row r="824"><cell r="A824" t="str"><v>SPUSPX</v></cell><cell r="B824" t="str"><v>Spirulina sp.</v></cell></row><row r="824"><cell r="E824" t="str"><v>(Turpin) Gomont</v></cell></row><row r="824"><cell r="M824" t="str"><v>ALG</v></cell><cell r="N824"><v>2</v></cell></row><row r="824"><cell r="S824"><v>119</v></cell></row><row r="825"><cell r="A825" t="str"><v>STAPAL</v></cell><cell r="B825" t="str"><v>Stachys palustris</v></cell></row><row r="825"><cell r="E825" t="str"><v>L.      </v></cell></row><row r="825"><cell r="M825" t="str"><v>PHe</v></cell><cell r="N825"><v>8</v></cell><cell r="O825" t="str"><v>HEL</v></cell></row><row r="825"><cell r="Q825" t="str"><v>DICOT</v></cell></row><row r="825"><cell r="S825"><v>1799</v></cell></row><row r="826"><cell r="A826" t="str"><v>STASYL</v></cell><cell r="B826" t="str"><v>Stachys sylvatica</v></cell></row><row r="826"><cell r="E826" t="str"><v>L.      </v></cell></row><row r="826"><cell r="M826" t="str"><v>PHg</v></cell><cell r="N826"><v>9</v></cell><cell r="O826" t="str"><v>HYG</v></cell></row><row r="826"><cell r="Q826" t="str"><v>DICOT</v></cell></row><row r="826"><cell r="S826"><v>19712</v></cell></row><row r="827"><cell r="A827" t="str"><v>STEPAL</v></cell><cell r="B827" t="str"><v>Stellaria palustris</v></cell></row><row r="827"><cell r="E827" t="str"><v>      </v></cell></row><row r="827"><cell r="M827" t="str"><v>PHx</v></cell><cell r="N827"><v>1</v></cell></row><row r="827"><cell r="Q827" t="str"><v>DICOT</v></cell></row><row r="827"><cell r="S827"><v>19714</v></cell></row><row r="828"><cell r="A828" t="str"><v>STEULI</v></cell><cell r="B828" t="str"><v>Stellaria uliginosa</v></cell></row><row r="828"><cell r="E828" t="str"><v>      </v></cell></row><row r="828"><cell r="M828" t="str"><v>PHg</v></cell><cell r="N828"><v>9</v></cell><cell r="O828" t="str"><v>HYG/HEL</v></cell></row><row r="828"><cell r="Q828" t="str"><v>DICOT</v></cell></row><row r="828"><cell r="S828"><v>29927</v></cell></row><row r="829"><cell r="A829" t="str"><v>STISPX</v></cell><cell r="B829" t="str"><v>Stigeoclonium sp.</v></cell><cell r="C829"><v>13</v></cell><cell r="D829"><v>2</v></cell><cell r="E829" t="str"><v>Kützing      </v></cell><cell r="F829" t="str"><v>Myxonema Fries</v></cell><cell r="G829" t="str"><v>Caespitella Vischer</v></cell></row><row r="829"><cell r="M829" t="str"><v>ALG</v></cell><cell r="N829"><v>2</v></cell></row><row r="829"><cell r="P829" t="str"><v>IBMR</v></cell></row><row r="829"><cell r="S829"><v>1119</v></cell></row><row r="830"><cell r="A830" t="str"><v>STITEN</v></cell><cell r="B830" t="str"><v>Stigeoclonium tenue</v></cell><cell r="C830"><v>1</v></cell><cell r="D830"><v>3</v></cell><cell r="E830" t="str"><v>Kützing      </v></cell><cell r="F830" t="str"><v>Stigeoclonium uniforme (C.Agardh) Rabenh.</v></cell></row><row r="830"><cell r="M830" t="str"><v>ALG</v></cell><cell r="N830"><v>2</v></cell></row><row r="830"><cell r="P830" t="str"><v>IBMR</v></cell></row><row r="830"><cell r="S830"><v>5583</v></cell></row><row r="831"><cell r="A831" t="str"><v>STRALO</v></cell><cell r="B831" t="str"><v>Stratiotes aloides</v></cell></row><row r="831"><cell r="E831" t="str"><v>L.      </v></cell></row><row r="831"><cell r="M831" t="str"><v>PHy</v></cell><cell r="N831"><v>7</v></cell><cell r="O831" t="str"><v>HYD</v></cell></row><row r="831"><cell r="Q831" t="str"><v>MONOCOT</v></cell></row><row r="831"><cell r="S831"><v>1596</v></cell></row><row r="832"><cell r="A832" t="str"><v>SUBAQU</v></cell><cell r="B832" t="str"><v>Subuluria aquatica</v></cell></row><row r="832"><cell r="E832" t="str"><v>      </v></cell></row><row r="832"><cell r="M832" t="str"><v>PHy</v></cell><cell r="N832"><v>7</v></cell><cell r="O832" t="str"><v>HYD</v></cell></row><row r="832"><cell r="Q832" t="str"><v>DICOT</v></cell></row><row r="832"><cell r="S832"><v>19716</v></cell></row><row r="833"><cell r="A833" t="str"><v>SYMOFF</v></cell><cell r="B833" t="str"><v>Symphytum officinale</v></cell></row><row r="833"><cell r="E833" t="str"><v>L.      </v></cell></row><row r="833"><cell r="M833" t="str"><v>PHg</v></cell><cell r="N833"><v>9</v></cell><cell r="O833" t="str"><v>HYG</v></cell></row><row r="833"><cell r="Q833" t="str"><v>DICOT</v></cell></row><row r="833"><cell r="S833"><v>1694</v></cell></row><row r="834"><cell r="A834" t="str"><v>TETSPX</v></cell><cell r="B834" t="str"><v>Tetraspora sp.</v></cell><cell r="C834"><v>12</v></cell><cell r="D834"><v>1</v></cell><cell r="E834" t="str"><v>Link      </v></cell></row><row r="834"><cell r="M834" t="str"><v>ALG</v></cell><cell r="N834"><v>2</v></cell></row><row r="834"><cell r="P834" t="str"><v>IBMR</v></cell></row><row r="834"><cell r="S834"><v>1138</v></cell></row><row r="835"><cell r="A835" t="str"><v>TEUSCO</v></cell><cell r="B835" t="str"><v>Teucrium scordium</v></cell></row><row r="835"><cell r="E835" t="str"><v>L.      </v></cell></row><row r="835"><cell r="M835" t="str"><v>PHg</v></cell><cell r="N835"><v>9</v></cell><cell r="O835" t="str"><v>HYG</v></cell></row><row r="835"><cell r="Q835" t="str"><v>DICOT</v></cell></row><row r="835"><cell r="S835"><v>181</v></cell></row><row r="836"><cell r="A836" t="str"><v>THAALO</v></cell><cell r="B836" t="str"><v>Thamnobryum alopecurum</v></cell><cell r="C836"><v>15</v></cell><cell r="D836"><v>2</v></cell><cell r="E836" t="str"><v>(Hedw.) Gang.</v></cell><cell r="F836" t="str"><v>Thamnium alopecurum (Hedw.) B., S. & G.</v></cell><cell r="G836" t="str"><v>Thamnium mediterraneum (Bott.) G. Roth</v></cell></row><row r="836"><cell r="M836" t="str"><v>BRm</v></cell><cell r="N836"><v>5</v></cell></row><row r="836"><cell r="P836" t="str"><v>IBMR</v></cell></row><row r="836"><cell r="S836"><v>1344</v></cell></row><row r="837"><cell r="A837" t="str"><v>THEPAL</v></cell><cell r="B837" t="str"><v>Thelypteris palustris</v></cell></row><row r="837"><cell r="E837" t="str"><v>      </v></cell></row><row r="837"><cell r="M837" t="str"><v>PTE</v></cell><cell r="N837"><v>6</v></cell></row><row r="837"><cell r="S837"><v>1435</v></cell></row><row r="838"><cell r="A838" t="str"><v>THLFLA</v></cell><cell r="B838" t="str"><v>Thalictrum flavum</v></cell></row><row r="838"><cell r="E838" t="str"><v>L.      </v></cell></row><row r="838"><cell r="M838" t="str"><v>PHg</v></cell><cell r="N838"><v>9</v></cell><cell r="O838" t="str"><v>HYG</v></cell></row><row r="838"><cell r="Q838" t="str"><v>DICOT</v></cell></row><row r="838"><cell r="S838"><v>19717</v></cell></row><row r="839"><cell r="A839" t="str"><v>THOSPX</v></cell><cell r="B839" t="str"><v>Thorea sp.</v></cell><cell r="C839"><v>14</v></cell><cell r="D839"><v>3</v></cell><cell r="E839" t="str"><v>(Thore) Desv.</v></cell><cell r="F839" t="str"><v>Thorea ramosissima</v></cell><cell r="G839" t="str"><v>Conferva hispida  Thore</v></cell><cell r="H839" t="str"><v>Thorea andina Lagerh. et K.Möbius</v></cell></row><row r="839"><cell r="M839" t="str"><v>ALG</v></cell><cell r="N839"><v>2</v></cell></row><row r="839"><cell r="P839" t="str"><v>IBMR</v></cell></row><row r="839"><cell r="S839"><v>685</v></cell></row><row r="840"><cell r="A840" t="str"><v>THRVER</v></cell><cell r="B840" t="str"><v>Thorella verticillatinundata</v></cell></row><row r="840"><cell r="E840" t="str"><v>      </v></cell></row><row r="840"><cell r="M840" t="str"><v>PHe</v></cell><cell r="N840"><v>8</v></cell><cell r="O840" t="str"><v>HYD/HEL</v></cell></row><row r="840"><cell r="Q840" t="str"><v>DICOT</v></cell></row><row r="840"><cell r="S840"><v>19718</v></cell></row><row r="841"><cell r="A841" t="str"><v>TOLGLO</v></cell><cell r="B841" t="str"><v>Tolypella glomerata</v></cell><cell r="C841"><v>12</v></cell><cell r="D841"><v>2</v></cell><cell r="E841" t="str"><v>(Desv.) Leonh.</v></cell><cell r="F841" t="str"><v>Chara glomerata Desv.</v></cell></row><row r="841"><cell r="M841" t="str"><v>ALG</v></cell><cell r="N841"><v>2</v></cell></row><row r="841"><cell r="P841" t="str"><v>IBMR</v></cell></row><row r="841"><cell r="S841"><v>5275</v></cell></row><row r="842"><cell r="A842" t="str"><v>TOLINT</v></cell><cell r="B842" t="str"><v>Tolypella intricata</v></cell></row><row r="842"><cell r="E842" t="str"><v>(Trentep. ex Roth.) Leonh.</v></cell><cell r="F842" t="str"><v>Chara intricata Trentep. ex Roth</v></cell></row><row r="842"><cell r="M842" t="str"><v>ALG</v></cell><cell r="N842"><v>2</v></cell></row><row r="842"><cell r="S842"><v>5276</v></cell></row><row r="843"><cell r="A843" t="str"><v>TOLPRO</v></cell><cell r="B843" t="str"><v>Tolypella prolifera</v></cell><cell r="C843"><v>15</v></cell><cell r="D843"><v>3</v></cell><cell r="E843" t="str"><v>(Ziz ex A.Braun) Leonh.</v></cell><cell r="F843" t="str"><v>Chara prolifera Ziz  ex A.Braun</v></cell></row><row r="843"><cell r="M843" t="str"><v>ALG</v></cell><cell r="N843"><v>2</v></cell></row><row r="843"><cell r="P843" t="str"><v>IBMR</v></cell></row><row r="843"><cell r="S843"><v>5277</v></cell></row><row r="844"><cell r="A844" t="str"><v>TOLSPX</v></cell><cell r="B844" t="str"><v>Tolypella sp.</v></cell></row><row r="844"><cell r="E844" t="str"><v>(A.Braun) A.Braun</v></cell></row><row r="844"><cell r="M844" t="str"><v>ALG</v></cell><cell r="N844"><v>2</v></cell></row><row r="844"><cell r="S844"><v>5274</v></cell></row><row r="845"><cell r="A845" t="str"><v>TORLAT</v></cell><cell r="B845" t="str"><v>Tortula latifolia</v></cell></row><row r="845"><cell r="E845" t="str"><v>Bruch ex Hartm.   </v></cell><cell r="F845" t="str"><v>Syntrichia latifolia (Bruch ex Hartm.) Hüb.</v></cell></row><row r="845"><cell r="M845" t="str"><v>BRm</v></cell><cell r="N845"><v>5</v></cell></row><row r="845"><cell r="S845"><v>1369</v></cell></row><row r="846"><cell r="A846" t="str"><v>TOYSPX</v></cell><cell r="B846" t="str"><v>Tolypothrix sp.</v></cell></row><row r="846"><cell r="E846" t="str"><v>Kützing      </v></cell></row><row r="846"><cell r="M846" t="str"><v>ALG</v></cell><cell r="N846"><v>2</v></cell></row><row r="846"><cell r="S846"><v>634</v></cell></row><row r="847"><cell r="A847" t="str"><v>TRANAT</v></cell><cell r="B847" t="str"><v>Trapa natans</v></cell><cell r="C847"><v>10</v></cell><cell r="D847"><v>3</v></cell><cell r="E847" t="str"><v>L.      </v></cell></row><row r="847"><cell r="M847" t="str"><v>PHy</v></cell><cell r="N847"><v>7</v></cell><cell r="O847" t="str"><v>HYD</v></cell><cell r="P847" t="str"><v>IBMR</v></cell><cell r="Q847" t="str"><v>DICOT</v></cell></row><row r="847"><cell r="S847"><v>1968</v></cell></row><row r="848"><cell r="A848" t="str"><v>TRCTOM</v></cell><cell r="B848" t="str"><v>Trichocolea tomentella</v></cell></row><row r="848"><cell r="E848" t="str"><v>(Ehrh.) Dumort.     </v></cell><cell r="F848" t="str"><v>Jungermannia tomentella Ehrh.</v></cell></row><row r="848"><cell r="M848" t="str"><v>BRh</v></cell><cell r="N848"><v>4</v></cell></row><row r="848"><cell r="S848"><v>1216</v></cell></row><row r="849"><cell r="A849" t="str"><v>TRISPX</v></cell><cell r="B849" t="str"><v>Tribonema sp.</v></cell><cell r="C849"><v>11</v></cell><cell r="D849"><v>2</v></cell><cell r="E849" t="str"><v>Derbès & Solier    </v></cell></row><row r="849"><cell r="M849" t="str"><v>ALG</v></cell><cell r="N849"><v>2</v></cell></row><row r="849"><cell r="P849" t="str"><v>IBMR</v></cell></row><row r="849"><cell r="S849"><v>1167</v></cell></row><row r="850"><cell r="A850" t="str"><v>TYPANG</v></cell><cell r="B850" t="str"><v>Typha angustifolia</v></cell><cell r="C850"><v>6</v></cell><cell r="D850"><v>2</v></cell><cell r="E850" t="str"><v>L.      </v></cell></row><row r="850"><cell r="M850" t="str"><v>PHe</v></cell><cell r="N850"><v>8</v></cell><cell r="O850" t="str"><v>HEL</v></cell><cell r="P850" t="str"><v>IBMR</v></cell><cell r="Q850" t="str"><v>MONOCOT</v></cell></row><row r="850"><cell r="S850"><v>1675</v></cell></row><row r="851"><cell r="A851" t="str"><v>TYPDOM</v></cell><cell r="B851" t="str"><v>Typha domingensis</v></cell></row><row r="851"><cell r="E851" t="str"><v>      </v></cell></row><row r="851"><cell r="M851" t="str"><v>PHe</v></cell><cell r="N851"><v>8</v></cell><cell r="O851" t="str"><v>HEL</v></cell></row><row r="851"><cell r="Q851" t="str"><v>MONOCOT</v></cell></row><row r="851"><cell r="S851"><v>19723</v></cell></row><row r="852"><cell r="A852" t="str"><v>TYPLAT</v></cell><cell r="B852" t="str"><v>Typha latifolia</v></cell><cell r="C852"><v>8</v></cell><cell r="D852"><v>1</v></cell><cell r="E852" t="str"><v>L.      </v></cell></row><row r="852"><cell r="M852" t="str"><v>PHe</v></cell><cell r="N852"><v>8</v></cell><cell r="O852" t="str"><v>HEL</v></cell><cell r="P852" t="str"><v>IBMR</v></cell><cell r="Q852" t="str"><v>MONOCOT</v></cell></row><row r="852"><cell r="S852"><v>1676</v></cell></row><row r="853"><cell r="A853" t="str"><v>TYPLAX</v></cell><cell r="B853" t="str"><v>Typha laxmannii</v></cell></row><row r="853"><cell r="E853" t="str"><v>      </v></cell></row><row r="853"><cell r="M853" t="str"><v>PHe</v></cell><cell r="N853"><v>8</v></cell><cell r="O853" t="str"><v>HEL</v></cell></row><row r="853"><cell r="Q853" t="str"><v>MONOCOT</v></cell></row><row r="853"><cell r="S853"><v>1677</v></cell></row><row r="854"><cell r="A854" t="str"><v>TYPMIN</v></cell><cell r="B854" t="str"><v>Typha minima</v></cell></row><row r="854"><cell r="E854" t="str"><v>Funk      </v></cell></row><row r="854"><cell r="M854" t="str"><v>PHe</v></cell><cell r="N854"><v>8</v></cell><cell r="O854" t="str"><v>HEL</v></cell></row><row r="854"><cell r="Q854" t="str"><v>MONOCOT</v></cell></row><row r="854"><cell r="S854"><v>1678</v></cell></row><row r="855"><cell r="A855" t="str"><v>TYPSHU</v></cell><cell r="B855" t="str"><v>Typha shuttleworthii</v></cell></row><row r="855"><cell r="E855" t="str"><v>      </v></cell></row><row r="855"><cell r="M855" t="str"><v>PHe</v></cell><cell r="N855"><v>8</v></cell><cell r="O855" t="str"><v>HEL</v></cell></row><row r="855"><cell r="Q855" t="str"><v>MONOCOT</v></cell></row><row r="855"><cell r="S855"><v>19724</v></cell></row><row r="856"><cell r="A856" t="str"><v>TYPSPX</v></cell><cell r="B856" t="str"><v>Typha sp.</v></cell></row><row r="856"><cell r="E856" t="str"><v>      </v></cell></row><row r="856"><cell r="M856" t="str"><v>PHe</v></cell><cell r="N856"><v>8</v></cell><cell r="O856" t="str"><v>HEL</v></cell></row><row r="856"><cell r="Q856" t="str"><v>MONOCOT</v></cell></row><row r="856"><cell r="S856"><v>1674</v></cell></row><row r="857"><cell r="A857" t="str"><v>ULOSPX</v></cell><cell r="B857" t="str"><v>Ulothrix sp.</v></cell><cell r="C857"><v>10</v></cell><cell r="D857"><v>1</v></cell><cell r="E857" t="str"><v>Kützing      </v></cell><cell r="F857" t="str"><v>Personiella F.E.Fritsch et M.F.Rich</v></cell></row><row r="857"><cell r="M857" t="str"><v>ALG</v></cell><cell r="N857"><v>2</v></cell></row><row r="857"><cell r="P857" t="str"><v>IBMR</v></cell></row><row r="857"><cell r="S857"><v>1142</v></cell></row><row r="858"><cell r="A858" t="str"><v>URTDIO</v></cell><cell r="B858" t="str"><v>Urtica dioica</v></cell></row><row r="858"><cell r="E858" t="str"><v>L.      </v></cell></row><row r="858"><cell r="M858" t="str"><v>PHg</v></cell><cell r="N858"><v>9</v></cell><cell r="O858" t="str"><v>HYG</v></cell></row><row r="858"><cell r="Q858" t="str"><v>DICOT</v></cell></row><row r="858"><cell r="S858"><v>2</v></cell></row><row r="859"><cell r="A859" t="str"><v>UTRAUS</v></cell><cell r="B859" t="str"><v>Utricularia australis</v></cell></row><row r="859"><cell r="E859" t="str"><v>      </v></cell></row><row r="859"><cell r="M859" t="str"><v>PHy</v></cell><cell r="N859"><v>7</v></cell><cell r="O859" t="str"><v>HYD</v></cell></row><row r="859"><cell r="Q859" t="str"><v>DICOT</v></cell></row><row r="859"><cell r="S859"><v>19726</v></cell></row><row r="860"><cell r="A860" t="str"><v>UTRBRE</v></cell><cell r="B860" t="str"><v>Utricularia bremii</v></cell></row><row r="860"><cell r="E860" t="str"><v>Herr ex Kölliker    </v></cell></row><row r="860"><cell r="M860" t="str"><v>PHy</v></cell><cell r="N860"><v>7</v></cell><cell r="O860" t="str"><v>HYD</v></cell></row><row r="860"><cell r="Q860" t="str"><v>DICOT</v></cell></row><row r="860"><cell r="S860"><v>19727</v></cell></row><row r="861"><cell r="A861" t="str"><v>UTRGIB</v></cell><cell r="B861" t="str"><v>Utricularia gibba</v></cell></row><row r="861"><cell r="E861" t="str"><v>      </v></cell></row><row r="861"><cell r="M861" t="str"><v>PHy</v></cell><cell r="N861"><v>7</v></cell><cell r="O861" t="str"><v>HYD</v></cell></row><row r="861"><cell r="Q861" t="str"><v>DICOT</v></cell></row><row r="861"><cell r="S861"><v>19728</v></cell></row><row r="862"><cell r="A862" t="str"><v>UTRINT</v></cell><cell r="B862" t="str"><v>Utricularia intermedia</v></cell></row><row r="862"><cell r="E862" t="str"><v>Hayne      </v></cell></row><row r="862"><cell r="M862" t="str"><v>PHy</v></cell><cell r="N862"><v>7</v></cell><cell r="O862" t="str"><v>HYD</v></cell></row><row r="862"><cell r="Q862" t="str"><v>DICOT</v></cell></row><row r="862"><cell r="S862"><v>19729</v></cell></row><row r="863"><cell r="A863" t="str"><v>UTRMIN</v></cell><cell r="B863" t="str"><v>Utricularia minor</v></cell></row><row r="863"><cell r="E863" t="str"><v>L.      </v></cell></row><row r="863"><cell r="M863" t="str"><v>PHy</v></cell><cell r="N863"><v>7</v></cell><cell r="O863" t="str"><v>HYD</v></cell></row><row r="863"><cell r="Q863" t="str"><v>DICOT</v></cell></row><row r="863"><cell r="S863"><v>1973</v></cell></row><row r="864"><cell r="A864" t="str"><v>UTROCH</v></cell><cell r="B864" t="str"><v>Utricularia ochroleuca</v></cell></row><row r="864"><cell r="E864" t="str"><v>R. Hartman     </v></cell></row><row r="864"><cell r="M864" t="str"><v>PHy</v></cell><cell r="N864"><v>7</v></cell><cell r="O864" t="str"><v>HYD</v></cell></row><row r="864"><cell r="Q864" t="str"><v>DICOT</v></cell></row><row r="864"><cell r="S864"><v>19731</v></cell></row><row r="865"><cell r="A865" t="str"><v>UTRSPX</v></cell><cell r="B865" t="str"><v>Utricularia sp.</v></cell></row><row r="865"><cell r="E865" t="str"><v>      </v></cell></row><row r="865"><cell r="M865" t="str"><v>PHy</v></cell><cell r="N865"><v>7</v></cell><cell r="O865" t="str"><v>HYD</v></cell></row><row r="865"><cell r="Q865" t="str"><v>DICOT</v></cell></row><row r="865"><cell r="S865"><v>1818</v></cell></row><row r="866"><cell r="A866" t="str"><v>UTRSTY</v></cell><cell r="B866" t="str"><v>Utricularia stygia</v></cell></row><row r="866"><cell r="E866" t="str"><v>      </v></cell></row><row r="866"><cell r="M866" t="str"><v>PHy</v></cell><cell r="N866"><v>7</v></cell><cell r="O866" t="str"><v>HYD</v></cell></row><row r="866"><cell r="Q866" t="str"><v>DICOT</v></cell></row><row r="866"><cell r="S866"><v>19732</v></cell></row><row r="867"><cell r="A867" t="str"><v>UTRVUL</v></cell><cell r="B867" t="str"><v>Utricularia vulgaris</v></cell></row><row r="867"><cell r="E867" t="str"><v>L.      </v></cell></row><row r="867"><cell r="M867" t="str"><v>PHy</v></cell><cell r="N867"><v>7</v></cell><cell r="O867" t="str"><v>HYD</v></cell></row><row r="867"><cell r="Q867" t="str"><v>DICOT</v></cell></row><row r="867"><cell r="S867"><v>1819</v></cell></row><row r="868"><cell r="A868" t="str"><v>VAEOFF</v></cell><cell r="B868" t="str"><v>Valerina officinalis</v></cell></row><row r="868"><cell r="E868" t="str"><v>L.      </v></cell></row><row r="868"><cell r="M868" t="str"><v>PHg</v></cell><cell r="N868"><v>9</v></cell><cell r="O868" t="str"><v>HYG</v></cell></row><row r="868"><cell r="Q868" t="str"><v>DICOT</v></cell></row><row r="868"><cell r="S868"><v>23</v></cell></row><row r="869"><cell r="A869" t="str"><v>VALSPI</v></cell><cell r="B869" t="str"><v>Vallisneria spiralis</v></cell><cell r="C869"><v>8</v></cell><cell r="D869"><v>2</v></cell><cell r="E869" t="str"><v>L.      </v></cell></row><row r="869"><cell r="M869" t="str"><v>PHy</v></cell><cell r="N869"><v>7</v></cell><cell r="O869" t="str"><v>HYD</v></cell><cell r="P869" t="str"><v>IBMR</v></cell><cell r="Q869" t="str"><v>MONOCOT</v></cell></row><row r="869"><cell r="S869"><v>1598</v></cell></row><row r="870"><cell r="A870" t="str"><v>VAUSPX</v></cell><cell r="B870" t="str"><v>Vaucheria sp.</v></cell><cell r="C870"><v>4</v></cell><cell r="D870"><v>1</v></cell><cell r="E870" t="str"><v>de Candolle     </v></cell></row><row r="870"><cell r="M870" t="str"><v>ALG</v></cell><cell r="N870"><v>2</v></cell></row><row r="870"><cell r="P870" t="str"><v>IBMR</v></cell></row><row r="870"><cell r="S870"><v>6193</v></cell></row><row r="871"><cell r="A871" t="str"><v>VERANA</v></cell><cell r="B871" t="str"><v>Veronica anagallis-aquatica</v></cell><cell r="C871"><v>11</v></cell><cell r="D871"><v>2</v></cell><cell r="E871" t="str"><v>L.      </v></cell></row><row r="871"><cell r="M871" t="str"><v>PHe</v></cell><cell r="N871"><v>8</v></cell><cell r="O871" t="str"><v>HYD/HEL</v></cell><cell r="P871" t="str"><v>IBMR</v></cell><cell r="Q871" t="str"><v>DICOT</v></cell></row><row r="871"><cell r="S871"><v>1955</v></cell></row><row r="872"><cell r="A872" t="str"><v>VERANO</v></cell><cell r="B872" t="str"><v>Veronica anagalloides</v></cell></row><row r="872"><cell r="E872" t="str"><v>Guss      </v></cell></row><row r="872"><cell r="M872" t="str"><v>PHg</v></cell><cell r="N872"><v>9</v></cell><cell r="O872" t="str"><v>HYG/HEL</v></cell></row><row r="872"><cell r="Q872" t="str"><v>DICOT</v></cell></row><row r="872"><cell r="S872"><v>1956</v></cell></row><row r="873"><cell r="A873" t="str"><v>VERBEC</v></cell><cell r="B873" t="str"><v>Veronica beccabunga</v></cell><cell r="C873"><v>10</v></cell><cell r="D873"><v>1</v></cell><cell r="E873" t="str"><v>L.      </v></cell></row><row r="873"><cell r="M873" t="str"><v>PHe</v></cell><cell r="N873"><v>8</v></cell><cell r="O873" t="str"><v>HEL</v></cell><cell r="P873" t="str"><v>IBMR</v></cell><cell r="Q873" t="str"><v>DICOT</v></cell></row><row r="873"><cell r="S873"><v>1957</v></cell></row><row r="874"><cell r="A874" t="str"><v>VERCAT</v></cell><cell r="B874" t="str"><v>Veronica catenata</v></cell><cell r="C874"><v>11</v></cell><cell r="D874"><v>2</v></cell><cell r="E874" t="str"><v>Pennel      </v></cell></row><row r="874"><cell r="M874" t="str"><v>PHe</v></cell><cell r="N874"><v>8</v></cell><cell r="O874" t="str"><v>HYD/HEL</v></cell><cell r="P874" t="str"><v>IBMR</v></cell><cell r="Q874" t="str"><v>DICOT</v></cell></row><row r="874"><cell r="S874"><v>1958</v></cell></row><row r="875"><cell r="A875" t="str"><v>VERFIL</v></cell><cell r="B875" t="str"><v>Veronica filiformis</v></cell></row><row r="875"><cell r="E875" t="str"><v>Sm.      </v></cell></row><row r="875"><cell r="M875" t="str"><v>PHx</v></cell><cell r="N875"><v>1</v></cell></row><row r="875"><cell r="Q875" t="str"><v>DICOT</v></cell></row><row r="875"><cell r="S875"><v>19734</v></cell></row><row r="876"><cell r="A876" t="str"><v>VERLAC</v></cell><cell r="B876" t="str"><v>Veronica x lackschewitzii</v></cell></row><row r="876"><cell r="E876" t="str"><v>      </v></cell></row><row r="876"><cell r="M876" t="str"><v>PHx</v></cell><cell r="N876"><v>1</v></cell></row><row r="876"><cell r="Q876" t="str"><v>DICOT</v></cell></row><row r="876"><cell r="S876"><v>19736</v></cell></row><row r="877"><cell r="A877" t="str"><v>VERSCU</v></cell><cell r="B877" t="str"><v>Veronica scutellata</v></cell></row><row r="877"><cell r="E877" t="str"><v>L.      </v></cell></row><row r="877"><cell r="M877" t="str"><v>PHg</v></cell><cell r="N877"><v>9</v></cell><cell r="O877" t="str"><v>HYG</v></cell></row><row r="877"><cell r="Q877" t="str"><v>DICOT</v></cell></row><row r="877"><cell r="S877"><v>1959</v></cell></row><row r="878"><cell r="A878" t="str"><v>VERSPX</v></cell><cell r="B878" t="str"><v>Veronica sp.</v></cell></row><row r="878"><cell r="E878" t="str"><v>      </v></cell></row><row r="878"><cell r="M878" t="str"><v>PHg</v></cell><cell r="N878"><v>9</v></cell><cell r="O878" t="str"><v>HYG</v></cell></row><row r="878"><cell r="Q878" t="str"><v>DICOT</v></cell></row><row r="878"><cell r="S878"><v>1954</v></cell></row><row r="879"><cell r="A879" t="str"><v>VIOPAL</v></cell><cell r="B879" t="str"><v>Viola palustris</v></cell></row><row r="879"><cell r="E879" t="str"><v>      </v></cell></row><row r="879"><cell r="M879" t="str"><v>PHg</v></cell><cell r="N879"><v>9</v></cell><cell r="O879" t="str"><v>HYG</v></cell></row><row r="879"><cell r="Q879" t="str"><v>DICOT</v></cell></row><row r="879"><cell r="S879"><v>27</v></cell></row><row r="880"><cell r="A880" t="str"><v>VIOSPX</v></cell><cell r="B880" t="str"><v>Viola sp.</v></cell></row><row r="880"><cell r="E880" t="str"><v>      </v></cell></row><row r="880"><cell r="M880" t="str"><v>PHg</v></cell><cell r="N880"><v>9</v></cell><cell r="O880" t="str"><v>HYG</v></cell></row><row r="880"><cell r="Q880" t="str"><v>DICOT</v></cell></row><row r="880"><cell r="S880"><v>26</v></cell></row><row r="881"><cell r="A881" t="str"><v>WOLARH</v></cell><cell r="B881" t="str"><v>Wolffia arhiza</v></cell><cell r="C881"><v>6</v></cell><cell r="D881"><v>2</v></cell><cell r="E881" t="str"><v>(L.) Horkel & Wimmer   </v></cell></row><row r="881"><cell r="M881" t="str"><v>PHy</v></cell><cell r="N881"><v>7</v></cell><cell r="O881" t="str"><v>HYD</v></cell><cell r="P881" t="str"><v>IBMR</v></cell><cell r="Q881" t="str"><v>MONOCOT</v></cell></row><row r="881"><cell r="S881"><v>1632</v></cell></row><row r="882"><cell r="A882" t="str"><v>ZANCON</v></cell><cell r="B882" t="str"><v>Zannichellia contorta</v></cell></row><row r="882"><cell r="E882" t="str"><v>      </v></cell></row><row r="882"><cell r="M882" t="str"><v>PHy</v></cell><cell r="N882"><v>7</v></cell><cell r="O882" t="str"><v>HYD</v></cell></row><row r="882"><cell r="Q882" t="str"><v>MONOCOT</v></cell></row><row r="882"><cell r="S882"><v>1974</v></cell></row><row r="883"><cell r="A883" t="str"><v>ZANMAJ</v></cell><cell r="B883" t="str"><v>Zannichellia major</v></cell></row><row r="883"><cell r="E883" t="str"><v>      </v></cell></row><row r="883"><cell r="M883" t="str"><v>PHy</v></cell><cell r="N883"><v>7</v></cell><cell r="O883" t="str"><v>HYD</v></cell></row><row r="883"><cell r="Q883" t="str"><v>MONOCOT</v></cell></row><row r="883"><cell r="S883"><v>19741</v></cell></row><row r="884"><cell r="A884" t="str"><v>ZANOBT</v></cell><cell r="B884" t="str"><v>Zannichellia obtusifolia</v></cell></row><row r="884"><cell r="E884" t="str"><v>      </v></cell></row><row r="884"><cell r="M884" t="str"><v>PHy</v></cell><cell r="N884"><v>7</v></cell><cell r="O884" t="str"><v>HYD</v></cell></row><row r="884"><cell r="Q884" t="str"><v>MONOCOT</v></cell></row><row r="884"><cell r="S884"><v>19742</v></cell></row><row r="885"><cell r="A885" t="str"><v>ZANPAE</v></cell><cell r="B885" t="str"><v>Zannichellia palustris subsp. pedicellata</v></cell><cell r="C885"><v>5</v></cell><cell r="D885"><v>1</v></cell><cell r="E885" t="str"><v>(Wahlenb. & Rosen)    </v></cell></row><row r="885"><cell r="M885" t="str"><v>PHy</v></cell><cell r="N885"><v>7</v></cell><cell r="O885" t="str"><v>HYD</v></cell></row><row r="885"><cell r="Q885" t="str"><v>MONOCOT</v></cell></row><row r="885"><cell r="S885"><v>19743</v></cell></row><row r="886"><cell r="A886" t="str"><v>ZANPAL</v></cell><cell r="B886" t="str"><v>Zannichellia palustris</v></cell><cell r="C886"><v>5</v></cell><cell r="D886"><v>1</v></cell><cell r="E886" t="str"><v>L.      </v></cell></row><row r="886"><cell r="M886" t="str"><v>PHy</v></cell><cell r="N886"><v>7</v></cell><cell r="O886" t="str"><v>HYD</v></cell><cell r="P886" t="str"><v>IBMR</v></cell><cell r="Q886" t="str"><v>MONOCOT</v></cell></row><row r="886"><cell r="S886"><v>1681</v></cell></row><row r="887"><cell r="A887" t="str"><v>ZANPED</v></cell><cell r="B887" t="str"><v>Zannichellia pedunculata</v></cell></row><row r="887"><cell r="E887" t="str"><v>Reich.      </v></cell></row><row r="887"><cell r="M887" t="str"><v>PHy</v></cell><cell r="N887"><v>7</v></cell><cell r="O887" t="str"><v>HYD</v></cell></row><row r="887"><cell r="Q887" t="str"><v>MONOCOT</v></cell></row><row r="887"><cell r="S887"><v>19744</v></cell></row><row r="888"><cell r="A888" t="str"><v>ZANPEL</v></cell><cell r="B888" t="str"><v>Zannichellia peltata</v></cell></row><row r="888"><cell r="E888" t="str"><v>      </v></cell></row><row r="888"><cell r="M888" t="str"><v>PHy</v></cell><cell r="N888"><v>7</v></cell><cell r="O888" t="str"><v>HYD</v></cell></row><row r="888"><cell r="Q888" t="str"><v>MONOCOT</v></cell></row><row r="888"><cell r="S888"><v>19745</v></cell></row><row r="889"><cell r="A889" t="str"><v>ZANSPX</v></cell><cell r="B889" t="str"><v>Zannichellia sp.</v></cell></row><row r="889"><cell r="E889" t="str"><v>      </v></cell></row><row r="889"><cell r="M889" t="str"><v>PHy</v></cell><cell r="N889"><v>7</v></cell><cell r="O889" t="str"><v>HYD</v></cell></row><row r="889"><cell r="Q889" t="str"><v>MONOCOT</v></cell></row><row r="889"><cell r="S889"><v>168</v></cell></row><row r="890"><cell r="A890" t="str"><v>ZIZAQU</v></cell><cell r="B890" t="str"><v>Zizania aquatica</v></cell></row><row r="890"><cell r="E890" t="str"><v>      </v></cell></row><row r="890"><cell r="M890" t="str"><v>PHy</v></cell><cell r="N890"><v>7</v></cell><cell r="O890" t="str"><v>HYD</v></cell></row><row r="890"><cell r="Q890" t="str"><v>MONOCOT</v></cell></row><row r="890"><cell r="S890"><v>19746</v></cell></row><row r="891"><cell r="A891" t="str"><v>ZIZLAT</v></cell><cell r="B891" t="str"><v>Zizania latifolia</v></cell></row><row r="891"><cell r="E891" t="str"><v>      </v></cell></row><row r="891"><cell r="M891" t="str"><v>PHy</v></cell><cell r="N891"><v>7</v></cell><cell r="O891" t="str"><v>HYD</v></cell></row><row r="891"><cell r="Q891" t="str"><v>MONOCOT</v></cell></row><row r="891"><cell r="S891"><v>19747</v></cell></row><row r="892"><cell r="A892" t="str"><v>ZYGSPX</v></cell><cell r="B892" t="str"><v>Zygnema sp.</v></cell><cell r="C892"><v>13</v></cell><cell r="D892"><v>3</v></cell><cell r="E892" t="str"><v>C. Agardh     </v></cell></row><row r="892"><cell r="M892" t="str"><v>ALG</v></cell><cell r="N892"><v>2</v></cell></row><row r="892"><cell r="P892" t="str"><v>IBMR</v></cell></row><row r="892"><cell r="S892"><v>1148</v></cell></row></sheetData><sheetData sheetId="2"></sheetData><sheetData sheetId="3"></sheetData><sheetData sheetId="4"></sheetData><sheetData sheetId="5"></sheetData><sheetData sheetId="6"></sheetData><sheetData sheetId="7"></sheetData><sheetData sheetId="8"></sheetData><sheetData sheetId="9"></sheetData><sheetData sheetId="10"></sheetData></sheetDataSet></externalBook></externalLink>
</file>

<file path=xl/theme/theme1.xml><?xml version="1.0" encoding="utf-8"?>
<a:theme xmlns:a="http://schemas.openxmlformats.org/drawingml/2006/main" xmlns:r="http://schemas.openxmlformats.org/officeDocument/2006/relationships" name="Office">
  <a:themeElements>
    <a:clrScheme name="LibreOffice">
      <a:dk1>
        <a:srgbClr val="000000"/>
      </a:dk1>
      <a:lt1>
        <a:srgbClr val="ffffff"/>
      </a:lt1>
      <a:dk2>
        <a:srgbClr val="000000"/>
      </a:dk2>
      <a:lt2>
        <a:srgbClr val="ffffff"/>
      </a:lt2>
      <a:accent1>
        <a:srgbClr val="18a303"/>
      </a:accent1>
      <a:accent2>
        <a:srgbClr val="0369a3"/>
      </a:accent2>
      <a:accent3>
        <a:srgbClr val="a33e03"/>
      </a:accent3>
      <a:accent4>
        <a:srgbClr val="8e03a3"/>
      </a:accent4>
      <a:accent5>
        <a:srgbClr val="c99c00"/>
      </a:accent5>
      <a:accent6>
        <a:srgbClr val="c9211e"/>
      </a:accent6>
      <a:hlink>
        <a:srgbClr val="0000ee"/>
      </a:hlink>
      <a:folHlink>
        <a:srgbClr val="551a8b"/>
      </a:folHlink>
    </a:clrScheme>
    <a:fontScheme name="Office">
      <a:majorFont>
        <a:latin typeface="Arial" pitchFamily="0" charset="1"/>
        <a:ea typeface="DejaVu Sans" pitchFamily="0" charset="1"/>
        <a:cs typeface="DejaVu Sans" pitchFamily="0" charset="1"/>
      </a:majorFont>
      <a:minorFont>
        <a:latin typeface="Arial" pitchFamily="0" charset="1"/>
        <a:ea typeface="DejaVu Sans" pitchFamily="0" charset="1"/>
        <a:cs typeface="DejaVu Sans" pitchFamily="0" charset="1"/>
      </a:minorFont>
    </a:fontScheme>
    <a:fmtScheme>
      <a:fillStyleLst>
        <a:solidFill>
          <a:schemeClr val="phClr"/>
        </a:solidFill>
        <a:solidFill>
          <a:schemeClr val="phClr"/>
        </a:solidFill>
        <a:solidFill>
          <a:schemeClr val="phClr"/>
        </a:solidFill>
      </a:fillStyleLst>
      <a:lnStyleLst>
        <a:ln w="6350" cap="flat" cmpd="sng" algn="ctr">
          <a:prstDash val="solid"/>
          <a:miter/>
        </a:ln>
        <a:ln w="6350" cap="flat" cmpd="sng" algn="ctr">
          <a:prstDash val="solid"/>
          <a:miter/>
        </a:ln>
        <a:ln w="6350" cap="flat" cmpd="sng" algn="ctr">
          <a:prstDash val="solid"/>
          <a:miter/>
        </a:ln>
      </a:lnStyleLst>
      <a:effectStyleLst>
        <a:effectStyle>
          <a:effectLst/>
        </a:effectStyle>
        <a:effectStyle>
          <a:effectLst/>
        </a:effectStyle>
        <a:effectStyle>
          <a:effectLst/>
        </a:effectStyle>
      </a:effectStyleLst>
      <a:bgFillStyleLst>
        <a:solidFill>
          <a:schemeClr val="phClr"/>
        </a:solidFill>
        <a:solidFill>
          <a:schemeClr val="phClr"/>
        </a:solidFill>
        <a:solidFill>
          <a:schemeClr val="phClr"/>
        </a:solidFill>
      </a:bgFillStyleLst>
    </a:fmtScheme>
  </a:themeElements>
</a:theme>
</file>

<file path=xl/worksheets/_rels/sheet1.xml.rels><?xml version="1.0" encoding="UTF-8"?>
<Relationships xmlns="http://schemas.openxmlformats.org/package/2006/relationships"><Relationship Id="rId1" Type="http://schemas.openxmlformats.org/officeDocument/2006/relationships/comments" Target="../comments1.xml"/><Relationship Id="rId2" Type="http://schemas.openxmlformats.org/officeDocument/2006/relationships/drawing" Target="../drawings/drawing1.xml"/><Relationship Id="rId3" Type="http://schemas.openxmlformats.org/officeDocument/2006/relationships/vmlDrawing" Target="../drawings/vmlDrawing1.vml"/>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tabColor rgb="FFFFCC00"/>
    <pageSetUpPr fitToPage="false"/>
  </sheetPr>
  <dimension ref="A1:BC94"/>
  <sheetViews>
    <sheetView showFormulas="false" showGridLines="true" showRowColHeaders="true" showZeros="true" rightToLeft="false" tabSelected="true" showOutlineSymbols="true" defaultGridColor="true" view="normal" topLeftCell="A1" colorId="64" zoomScale="100" zoomScaleNormal="100" zoomScalePageLayoutView="100" workbookViewId="0">
      <selection pane="topLeft" activeCell="A1" activeCellId="0" sqref="A1"/>
    </sheetView>
  </sheetViews>
  <sheetFormatPr defaultColWidth="11.41796875" defaultRowHeight="12.75" zeroHeight="false" outlineLevelRow="0" outlineLevelCol="0"/>
  <cols>
    <col collapsed="false" customWidth="true" hidden="false" outlineLevel="0" max="1" min="1" style="1" width="18.56"/>
    <col collapsed="false" customWidth="true" hidden="false" outlineLevel="0" max="2" min="2" style="1" width="9.7"/>
    <col collapsed="false" customWidth="true" hidden="false" outlineLevel="0" max="3" min="3" style="1" width="9.41"/>
    <col collapsed="false" customWidth="true" hidden="true" outlineLevel="0" max="4" min="4" style="1" width="9.41"/>
    <col collapsed="false" customWidth="true" hidden="true" outlineLevel="0" max="5" min="5" style="1" width="8.99"/>
    <col collapsed="false" customWidth="true" hidden="false" outlineLevel="0" max="6" min="6" style="1" width="7.14"/>
    <col collapsed="false" customWidth="true" hidden="false" outlineLevel="0" max="7" min="7" style="1" width="5.56"/>
    <col collapsed="false" customWidth="true" hidden="true" outlineLevel="0" max="8" min="8" style="2" width="3.14"/>
    <col collapsed="false" customWidth="true" hidden="false" outlineLevel="0" max="9" min="9" style="1" width="4.28"/>
    <col collapsed="false" customWidth="true" hidden="false" outlineLevel="0" max="10" min="10" style="1" width="3.56"/>
    <col collapsed="false" customWidth="true" hidden="false" outlineLevel="0" max="11" min="11" style="1" width="8.99"/>
    <col collapsed="false" customWidth="true" hidden="false" outlineLevel="0" max="12" min="12" style="1" width="6.28"/>
    <col collapsed="false" customWidth="true" hidden="false" outlineLevel="0" max="13" min="13" style="1" width="8.7"/>
    <col collapsed="false" customWidth="true" hidden="false" outlineLevel="0" max="14" min="14" style="1" width="8.85"/>
    <col collapsed="false" customWidth="true" hidden="false" outlineLevel="0" max="15" min="15" style="1" width="10.99"/>
    <col collapsed="false" customWidth="true" hidden="false" outlineLevel="0" max="16" min="16" style="2" width="13.85"/>
    <col collapsed="false" customWidth="true" hidden="true" outlineLevel="0" max="18" min="17" style="2" width="8.7"/>
    <col collapsed="false" customWidth="true" hidden="true" outlineLevel="0" max="19" min="19" style="2" width="6.99"/>
    <col collapsed="false" customWidth="true" hidden="true" outlineLevel="0" max="20" min="20" style="2" width="4.85"/>
    <col collapsed="false" customWidth="true" hidden="true" outlineLevel="0" max="21" min="21" style="2" width="17.42"/>
    <col collapsed="false" customWidth="true" hidden="true" outlineLevel="0" max="22" min="22" style="2" width="40.7"/>
    <col collapsed="false" customWidth="true" hidden="false" outlineLevel="0" max="23" min="23" style="1" width="25.41"/>
    <col collapsed="false" customWidth="true" hidden="false" outlineLevel="0" max="24" min="24" style="1" width="26.13"/>
    <col collapsed="false" customWidth="false" hidden="true" outlineLevel="0" max="25" min="25" style="1" width="11.42"/>
    <col collapsed="false" customWidth="true" hidden="true" outlineLevel="0" max="26" min="26" style="1" width="8.14"/>
    <col collapsed="false" customWidth="true" hidden="false" outlineLevel="0" max="27" min="27" style="2" width="6.28"/>
    <col collapsed="false" customWidth="true" hidden="false" outlineLevel="0" max="28" min="28" style="1" width="34.13"/>
    <col collapsed="false" customWidth="true" hidden="false" outlineLevel="0" max="29" min="29" style="1" width="25.28"/>
    <col collapsed="false" customWidth="false" hidden="false" outlineLevel="0" max="257" min="30" style="1" width="11.42"/>
  </cols>
  <sheetData>
    <row r="1" customFormat="false" ht="15.75" hidden="false" customHeight="false" outlineLevel="0" collapsed="false">
      <c r="A1" s="3" t="s">
        <v>0</v>
      </c>
      <c r="B1" s="4"/>
      <c r="C1" s="4"/>
      <c r="D1" s="5"/>
      <c r="E1" s="5"/>
      <c r="F1" s="4"/>
      <c r="G1" s="6"/>
      <c r="H1" s="7"/>
      <c r="I1" s="4"/>
      <c r="J1" s="4"/>
      <c r="K1" s="4"/>
      <c r="L1" s="4"/>
      <c r="M1" s="4"/>
      <c r="N1" s="4"/>
      <c r="O1" s="8" t="s">
        <v>1</v>
      </c>
      <c r="P1" s="9"/>
      <c r="Q1" s="10"/>
      <c r="R1" s="10"/>
      <c r="S1" s="10"/>
      <c r="T1" s="10"/>
      <c r="U1" s="10"/>
      <c r="V1" s="10"/>
      <c r="W1" s="11"/>
      <c r="X1" s="12"/>
    </row>
    <row r="2" customFormat="false" ht="12.75" hidden="false" customHeight="false" outlineLevel="0" collapsed="false">
      <c r="A2" s="13" t="s">
        <v>2</v>
      </c>
      <c r="B2" s="14"/>
      <c r="C2" s="15" t="s">
        <v>3</v>
      </c>
      <c r="D2" s="10"/>
      <c r="E2" s="16"/>
      <c r="F2" s="17"/>
      <c r="G2" s="17"/>
      <c r="H2" s="18"/>
      <c r="I2" s="17"/>
      <c r="J2" s="17"/>
      <c r="K2" s="17"/>
      <c r="L2" s="19"/>
      <c r="M2" s="20"/>
      <c r="N2" s="20"/>
      <c r="O2" s="21" t="s">
        <v>4</v>
      </c>
      <c r="P2" s="9"/>
      <c r="Q2" s="10"/>
      <c r="R2" s="10"/>
      <c r="S2" s="10"/>
      <c r="T2" s="10"/>
      <c r="U2" s="10"/>
      <c r="V2" s="10"/>
      <c r="W2" s="22"/>
      <c r="X2" s="23"/>
    </row>
    <row r="3" customFormat="false" ht="13.5" hidden="false" customHeight="false" outlineLevel="0" collapsed="false">
      <c r="A3" s="13" t="s">
        <v>5</v>
      </c>
      <c r="B3" s="14"/>
      <c r="C3" s="13" t="s">
        <v>6</v>
      </c>
      <c r="D3" s="24"/>
      <c r="E3" s="24"/>
      <c r="F3" s="25"/>
      <c r="G3" s="25"/>
      <c r="H3" s="26"/>
      <c r="I3" s="27"/>
      <c r="J3" s="26"/>
      <c r="K3" s="28" t="s">
        <v>7</v>
      </c>
      <c r="L3" s="29"/>
      <c r="M3" s="30" t="s">
        <v>8</v>
      </c>
      <c r="N3" s="31"/>
      <c r="O3" s="31"/>
      <c r="P3" s="32"/>
      <c r="Q3" s="10"/>
      <c r="R3" s="10"/>
      <c r="S3" s="10"/>
      <c r="T3" s="10"/>
      <c r="U3" s="10"/>
      <c r="V3" s="10"/>
      <c r="W3" s="22"/>
      <c r="X3" s="23"/>
    </row>
    <row r="4" customFormat="false" ht="13.5" hidden="false" customHeight="false" outlineLevel="0" collapsed="false">
      <c r="A4" s="33" t="n">
        <v>41141</v>
      </c>
      <c r="B4" s="34"/>
      <c r="C4" s="35"/>
      <c r="D4" s="36"/>
      <c r="E4" s="36"/>
      <c r="F4" s="35"/>
      <c r="G4" s="35"/>
      <c r="H4" s="36"/>
      <c r="I4" s="37" t="s">
        <v>9</v>
      </c>
      <c r="J4" s="38"/>
      <c r="K4" s="38"/>
      <c r="L4" s="39"/>
      <c r="M4" s="39"/>
      <c r="N4" s="40" t="s">
        <v>10</v>
      </c>
      <c r="O4" s="39"/>
      <c r="P4" s="41"/>
      <c r="Q4" s="10"/>
      <c r="R4" s="10"/>
      <c r="S4" s="10"/>
      <c r="T4" s="10"/>
      <c r="U4" s="10"/>
      <c r="V4" s="10"/>
      <c r="W4" s="22"/>
      <c r="X4" s="42"/>
    </row>
    <row r="5" customFormat="false" ht="14.25" hidden="false" customHeight="true" outlineLevel="0" collapsed="false">
      <c r="A5" s="43" t="s">
        <v>11</v>
      </c>
      <c r="B5" s="44" t="s">
        <v>12</v>
      </c>
      <c r="C5" s="45" t="s">
        <v>13</v>
      </c>
      <c r="D5" s="46"/>
      <c r="E5" s="46"/>
      <c r="F5" s="47" t="s">
        <v>14</v>
      </c>
      <c r="G5" s="48"/>
      <c r="H5" s="46"/>
      <c r="I5" s="49"/>
      <c r="J5" s="50"/>
      <c r="K5" s="51" t="s">
        <v>15</v>
      </c>
      <c r="L5" s="52" t="n">
        <v>6.78378378378378</v>
      </c>
      <c r="M5" s="53"/>
      <c r="N5" s="54"/>
      <c r="O5" s="55" t="n">
        <v>6.15151515151515</v>
      </c>
      <c r="P5" s="56"/>
      <c r="Q5" s="10"/>
      <c r="R5" s="10"/>
      <c r="S5" s="10"/>
      <c r="T5" s="10"/>
      <c r="U5" s="10"/>
      <c r="V5" s="10"/>
      <c r="W5" s="22"/>
      <c r="X5" s="42"/>
    </row>
    <row r="6" customFormat="false" ht="13.5" hidden="false" customHeight="false" outlineLevel="0" collapsed="false">
      <c r="A6" s="43" t="s">
        <v>16</v>
      </c>
      <c r="B6" s="57" t="s">
        <v>17</v>
      </c>
      <c r="C6" s="57" t="s">
        <v>18</v>
      </c>
      <c r="D6" s="46"/>
      <c r="E6" s="46"/>
      <c r="F6" s="47"/>
      <c r="G6" s="48"/>
      <c r="H6" s="46"/>
      <c r="I6" s="58" t="s">
        <v>19</v>
      </c>
      <c r="J6" s="59"/>
      <c r="K6" s="60"/>
      <c r="L6" s="61" t="s">
        <v>20</v>
      </c>
      <c r="M6" s="62"/>
      <c r="N6" s="63" t="s">
        <v>21</v>
      </c>
      <c r="O6" s="63"/>
      <c r="P6" s="64"/>
      <c r="Q6" s="10"/>
      <c r="R6" s="10"/>
      <c r="S6" s="10"/>
      <c r="T6" s="10"/>
      <c r="U6" s="10"/>
      <c r="V6" s="10"/>
      <c r="W6" s="22"/>
      <c r="X6" s="23"/>
    </row>
    <row r="7" customFormat="false" ht="12.75" hidden="false" customHeight="false" outlineLevel="0" collapsed="false">
      <c r="A7" s="65" t="s">
        <v>22</v>
      </c>
      <c r="B7" s="66" t="n">
        <v>85</v>
      </c>
      <c r="C7" s="67" t="n">
        <v>15</v>
      </c>
      <c r="D7" s="68"/>
      <c r="E7" s="68"/>
      <c r="F7" s="69" t="n">
        <f aca="false">IF((OR((B7+C7=100),(B7+C7=0))),B7+C7,"ATTENTION")</f>
        <v>100</v>
      </c>
      <c r="G7" s="70"/>
      <c r="H7" s="68"/>
      <c r="I7" s="71"/>
      <c r="J7" s="72"/>
      <c r="K7" s="73"/>
      <c r="L7" s="74"/>
      <c r="M7" s="75"/>
      <c r="N7" s="76" t="s">
        <v>23</v>
      </c>
      <c r="O7" s="76" t="s">
        <v>24</v>
      </c>
      <c r="P7" s="77"/>
      <c r="Q7" s="10"/>
      <c r="R7" s="10"/>
      <c r="S7" s="10"/>
      <c r="T7" s="10"/>
      <c r="U7" s="10"/>
      <c r="V7" s="10"/>
      <c r="W7" s="22"/>
      <c r="X7" s="23"/>
    </row>
    <row r="8" customFormat="false" ht="12.75" hidden="false" customHeight="false" outlineLevel="0" collapsed="false">
      <c r="A8" s="78" t="s">
        <v>25</v>
      </c>
      <c r="B8" s="78"/>
      <c r="C8" s="78"/>
      <c r="D8" s="68"/>
      <c r="E8" s="68"/>
      <c r="F8" s="79" t="s">
        <v>26</v>
      </c>
      <c r="G8" s="80"/>
      <c r="H8" s="81"/>
      <c r="I8" s="71"/>
      <c r="J8" s="72"/>
      <c r="K8" s="73"/>
      <c r="L8" s="74"/>
      <c r="M8" s="82" t="s">
        <v>27</v>
      </c>
      <c r="N8" s="83" t="n">
        <f aca="false">AVERAGE(I23:I82)</f>
        <v>7.66666666666667</v>
      </c>
      <c r="O8" s="83" t="n">
        <f aca="false">AVERAGE(J23:J82)</f>
        <v>1.33333333333333</v>
      </c>
      <c r="P8" s="84"/>
      <c r="Q8" s="10"/>
      <c r="R8" s="10"/>
      <c r="S8" s="10"/>
      <c r="T8" s="10"/>
      <c r="U8" s="10"/>
      <c r="V8" s="10"/>
      <c r="W8" s="22"/>
      <c r="X8" s="23"/>
    </row>
    <row r="9" customFormat="false" ht="13.5" hidden="false" customHeight="false" outlineLevel="0" collapsed="false">
      <c r="A9" s="43" t="s">
        <v>28</v>
      </c>
      <c r="B9" s="85" t="n">
        <v>80</v>
      </c>
      <c r="C9" s="86" t="n">
        <v>0.04</v>
      </c>
      <c r="D9" s="87"/>
      <c r="E9" s="87"/>
      <c r="F9" s="88" t="n">
        <f aca="false">($B9*$B$7+$C9*$C$7)/100</f>
        <v>68.006</v>
      </c>
      <c r="G9" s="89"/>
      <c r="H9" s="90"/>
      <c r="I9" s="91"/>
      <c r="J9" s="92"/>
      <c r="K9" s="73"/>
      <c r="L9" s="93"/>
      <c r="M9" s="82" t="s">
        <v>29</v>
      </c>
      <c r="N9" s="83" t="n">
        <f aca="false">STDEV(I23:I82)</f>
        <v>3.22865953984659</v>
      </c>
      <c r="O9" s="83" t="n">
        <f aca="false">STDEV(J23:J82)</f>
        <v>0.492365963917331</v>
      </c>
      <c r="P9" s="84"/>
      <c r="Q9" s="10"/>
      <c r="R9" s="10"/>
      <c r="S9" s="10"/>
      <c r="T9" s="10"/>
      <c r="U9" s="10"/>
      <c r="V9" s="10"/>
      <c r="W9" s="94"/>
      <c r="X9" s="95"/>
    </row>
    <row r="10" customFormat="false" ht="13.5" hidden="false" customHeight="false" outlineLevel="0" collapsed="false">
      <c r="A10" s="96" t="s">
        <v>30</v>
      </c>
      <c r="B10" s="97"/>
      <c r="C10" s="98"/>
      <c r="D10" s="99"/>
      <c r="E10" s="99"/>
      <c r="F10" s="88" t="n">
        <f aca="false">($B10*$B$7+$C10*$C$7)/100</f>
        <v>0</v>
      </c>
      <c r="G10" s="89"/>
      <c r="H10" s="100"/>
      <c r="I10" s="101"/>
      <c r="J10" s="102" t="s">
        <v>31</v>
      </c>
      <c r="K10" s="102"/>
      <c r="L10" s="103"/>
      <c r="M10" s="104" t="s">
        <v>32</v>
      </c>
      <c r="N10" s="105" t="n">
        <f aca="false">MIN(I23:I82)</f>
        <v>2</v>
      </c>
      <c r="O10" s="105" t="n">
        <f aca="false">MIN(J23:J82)</f>
        <v>1</v>
      </c>
      <c r="P10" s="106"/>
      <c r="Q10" s="10"/>
      <c r="R10" s="10"/>
      <c r="S10" s="10"/>
      <c r="T10" s="10"/>
      <c r="U10" s="10"/>
      <c r="V10" s="10"/>
    </row>
    <row r="11" customFormat="false" ht="12.75" hidden="false" customHeight="false" outlineLevel="0" collapsed="false">
      <c r="A11" s="107" t="s">
        <v>33</v>
      </c>
      <c r="B11" s="108"/>
      <c r="C11" s="109"/>
      <c r="D11" s="110"/>
      <c r="E11" s="110"/>
      <c r="F11" s="111" t="n">
        <f aca="false">($B11*$B$7+$C11*$C$7)/100</f>
        <v>0</v>
      </c>
      <c r="G11" s="112"/>
      <c r="H11" s="68"/>
      <c r="I11" s="113" t="s">
        <v>34</v>
      </c>
      <c r="J11" s="113"/>
      <c r="K11" s="114" t="n">
        <f aca="false">COUNTIF($G$23:$G$82,"=HET")</f>
        <v>0</v>
      </c>
      <c r="L11" s="115"/>
      <c r="M11" s="104" t="s">
        <v>35</v>
      </c>
      <c r="N11" s="105" t="n">
        <f aca="false">MAX(I23:I82)</f>
        <v>12</v>
      </c>
      <c r="O11" s="105" t="n">
        <f aca="false">MAX(J23:J82)</f>
        <v>2</v>
      </c>
      <c r="P11" s="106"/>
      <c r="Q11" s="10"/>
      <c r="R11" s="10"/>
      <c r="S11" s="10"/>
      <c r="T11" s="10"/>
      <c r="U11" s="10"/>
      <c r="V11" s="10"/>
    </row>
    <row r="12" customFormat="false" ht="12.75" hidden="false" customHeight="false" outlineLevel="0" collapsed="false">
      <c r="A12" s="116" t="s">
        <v>36</v>
      </c>
      <c r="B12" s="117" t="n">
        <v>0.02</v>
      </c>
      <c r="C12" s="118"/>
      <c r="D12" s="110"/>
      <c r="E12" s="110"/>
      <c r="F12" s="111" t="n">
        <f aca="false">($B12*$B$7+$C12*$C$7)/100</f>
        <v>0.017</v>
      </c>
      <c r="G12" s="119"/>
      <c r="H12" s="68"/>
      <c r="I12" s="120" t="s">
        <v>37</v>
      </c>
      <c r="J12" s="120"/>
      <c r="K12" s="114" t="n">
        <f aca="false">COUNTIF($G$23:$G$82,"=ALG")</f>
        <v>3</v>
      </c>
      <c r="L12" s="121"/>
      <c r="M12" s="122"/>
      <c r="N12" s="123" t="s">
        <v>31</v>
      </c>
      <c r="O12" s="124"/>
      <c r="P12" s="125"/>
      <c r="Q12" s="10"/>
      <c r="R12" s="10"/>
      <c r="S12" s="10"/>
      <c r="T12" s="10"/>
      <c r="U12" s="10"/>
      <c r="V12" s="10"/>
    </row>
    <row r="13" customFormat="false" ht="12.75" hidden="false" customHeight="false" outlineLevel="0" collapsed="false">
      <c r="A13" s="116" t="s">
        <v>38</v>
      </c>
      <c r="B13" s="117"/>
      <c r="C13" s="118"/>
      <c r="D13" s="110"/>
      <c r="E13" s="110"/>
      <c r="F13" s="111" t="n">
        <f aca="false">($B13*$B$7+$C13*$C$7)/100</f>
        <v>0</v>
      </c>
      <c r="G13" s="119"/>
      <c r="H13" s="68"/>
      <c r="I13" s="120" t="s">
        <v>39</v>
      </c>
      <c r="J13" s="120"/>
      <c r="K13" s="114" t="n">
        <f aca="false">COUNTIF($G$23:$G$82,"=BRm")+COUNTIF($G$23:$G$82,"=BRh")</f>
        <v>0</v>
      </c>
      <c r="L13" s="115"/>
      <c r="M13" s="126" t="s">
        <v>40</v>
      </c>
      <c r="N13" s="127" t="n">
        <f aca="false">COUNTIF(F23:F82,"&gt;0")</f>
        <v>12</v>
      </c>
      <c r="O13" s="128"/>
      <c r="P13" s="129"/>
      <c r="Q13" s="10"/>
      <c r="R13" s="10"/>
      <c r="S13" s="10"/>
      <c r="T13" s="10"/>
      <c r="U13" s="10"/>
      <c r="V13" s="10"/>
    </row>
    <row r="14" customFormat="false" ht="12.75" hidden="false" customHeight="false" outlineLevel="0" collapsed="false">
      <c r="A14" s="116" t="s">
        <v>41</v>
      </c>
      <c r="B14" s="117"/>
      <c r="C14" s="118"/>
      <c r="D14" s="110"/>
      <c r="E14" s="110"/>
      <c r="F14" s="111" t="n">
        <f aca="false">($B14*$B$7+$C14*$C$7)/100</f>
        <v>0</v>
      </c>
      <c r="G14" s="119"/>
      <c r="H14" s="68"/>
      <c r="I14" s="120" t="s">
        <v>42</v>
      </c>
      <c r="J14" s="120"/>
      <c r="K14" s="114" t="n">
        <f aca="false">COUNTIF($G$23:$G$82,"=PTE")+COUNTIF($G$23:$G$82,"=LIC")</f>
        <v>0</v>
      </c>
      <c r="L14" s="115"/>
      <c r="M14" s="130" t="s">
        <v>43</v>
      </c>
      <c r="N14" s="131" t="n">
        <f aca="false">COUNTIF($I$23:$I$82,"&gt;-1")</f>
        <v>12</v>
      </c>
      <c r="O14" s="132"/>
      <c r="P14" s="129"/>
      <c r="Q14" s="10"/>
      <c r="R14" s="10"/>
      <c r="S14" s="10"/>
      <c r="T14" s="10"/>
      <c r="U14" s="10"/>
      <c r="V14" s="10"/>
    </row>
    <row r="15" customFormat="false" ht="12.75" hidden="false" customHeight="false" outlineLevel="0" collapsed="false">
      <c r="A15" s="133" t="s">
        <v>44</v>
      </c>
      <c r="B15" s="134" t="n">
        <v>80</v>
      </c>
      <c r="C15" s="135" t="n">
        <v>0.04</v>
      </c>
      <c r="D15" s="110"/>
      <c r="E15" s="110"/>
      <c r="F15" s="111" t="n">
        <f aca="false">($B15*$B$7+$C15*$C$7)/100</f>
        <v>68.006</v>
      </c>
      <c r="G15" s="119"/>
      <c r="H15" s="68"/>
      <c r="I15" s="120" t="s">
        <v>45</v>
      </c>
      <c r="J15" s="120"/>
      <c r="K15" s="114" t="n">
        <f aca="false">(COUNTIF($G$23:$G$82,"=PHy"))+(COUNTIF($G$23:$G$82,"=PHe"))+(COUNTIF($G$23:$G$82,"=PHg"))+(COUNTIF($G$23:$G$82,"=PHx"))</f>
        <v>9</v>
      </c>
      <c r="L15" s="115"/>
      <c r="M15" s="136" t="s">
        <v>46</v>
      </c>
      <c r="N15" s="137" t="n">
        <f aca="false">COUNTIF(J23:J82,"=1")</f>
        <v>8</v>
      </c>
      <c r="O15" s="138"/>
      <c r="P15" s="129"/>
      <c r="Q15" s="10"/>
      <c r="R15" s="10"/>
      <c r="S15" s="10"/>
      <c r="T15" s="10"/>
      <c r="U15" s="10"/>
      <c r="V15" s="10"/>
    </row>
    <row r="16" customFormat="false" ht="12.75" hidden="false" customHeight="false" outlineLevel="0" collapsed="false">
      <c r="A16" s="107" t="s">
        <v>47</v>
      </c>
      <c r="B16" s="108" t="n">
        <v>45</v>
      </c>
      <c r="C16" s="109" t="n">
        <v>0.02</v>
      </c>
      <c r="D16" s="139"/>
      <c r="E16" s="139"/>
      <c r="F16" s="140"/>
      <c r="G16" s="140" t="n">
        <f aca="false">($B16*$B$7+$C16*$C$7)/100</f>
        <v>38.253</v>
      </c>
      <c r="H16" s="68"/>
      <c r="I16" s="120"/>
      <c r="J16" s="141"/>
      <c r="K16" s="141"/>
      <c r="L16" s="115"/>
      <c r="M16" s="136" t="s">
        <v>48</v>
      </c>
      <c r="N16" s="137" t="n">
        <f aca="false">COUNTIF(J23:J82,"=2")</f>
        <v>4</v>
      </c>
      <c r="O16" s="138"/>
      <c r="P16" s="129"/>
      <c r="Q16" s="10"/>
      <c r="R16" s="10"/>
      <c r="S16" s="10"/>
      <c r="T16" s="10"/>
      <c r="U16" s="10"/>
      <c r="V16" s="10"/>
    </row>
    <row r="17" customFormat="false" ht="12.75" hidden="false" customHeight="false" outlineLevel="0" collapsed="false">
      <c r="A17" s="116" t="s">
        <v>49</v>
      </c>
      <c r="B17" s="117" t="n">
        <v>58</v>
      </c>
      <c r="C17" s="118"/>
      <c r="D17" s="110"/>
      <c r="E17" s="110"/>
      <c r="F17" s="142"/>
      <c r="G17" s="111" t="n">
        <f aca="false">($B17*$B$7+$C17*$C$7)/100</f>
        <v>49.3</v>
      </c>
      <c r="H17" s="68"/>
      <c r="I17" s="120"/>
      <c r="J17" s="120"/>
      <c r="K17" s="141"/>
      <c r="L17" s="115"/>
      <c r="M17" s="136" t="s">
        <v>50</v>
      </c>
      <c r="N17" s="137" t="n">
        <f aca="false">COUNTIF(J23:J82,"=3")</f>
        <v>0</v>
      </c>
      <c r="O17" s="138"/>
      <c r="P17" s="129"/>
      <c r="Q17" s="10"/>
      <c r="R17" s="10"/>
      <c r="S17" s="10"/>
      <c r="T17" s="10"/>
      <c r="U17" s="10"/>
      <c r="V17" s="10"/>
    </row>
    <row r="18" customFormat="false" ht="12.75" hidden="false" customHeight="false" outlineLevel="0" collapsed="false">
      <c r="A18" s="143" t="s">
        <v>51</v>
      </c>
      <c r="B18" s="144"/>
      <c r="C18" s="145" t="n">
        <v>0.02</v>
      </c>
      <c r="D18" s="110"/>
      <c r="E18" s="146" t="s">
        <v>52</v>
      </c>
      <c r="F18" s="142"/>
      <c r="G18" s="111" t="n">
        <f aca="false">($B18*$B$7+$C18*$C$7)/100</f>
        <v>0.003</v>
      </c>
      <c r="H18" s="68"/>
      <c r="I18" s="120"/>
      <c r="J18" s="120"/>
      <c r="K18" s="141"/>
      <c r="L18" s="115"/>
      <c r="M18" s="147"/>
      <c r="N18" s="147"/>
      <c r="O18" s="138"/>
      <c r="P18" s="148"/>
      <c r="Q18" s="10"/>
      <c r="R18" s="10"/>
      <c r="S18" s="10"/>
      <c r="T18" s="10"/>
      <c r="U18" s="10"/>
      <c r="V18" s="10" t="s">
        <v>53</v>
      </c>
      <c r="W18" s="149"/>
    </row>
    <row r="19" customFormat="false" ht="13.5" hidden="false" customHeight="false" outlineLevel="0" collapsed="false">
      <c r="A19" s="150" t="str">
        <f aca="false">IF(AND(OR(AND((B9=""),(B7="")),(B9=""),AND(ISNUMBER(B9),ISNUMBER(B7))),OR(AND((C9=""),(C7="")),(C9=""),AND(ISNUMBER(C9),ISNUMBER(C7)))),"","ATTENTION: renseigner % faciès / station")</f>
        <v/>
      </c>
      <c r="B19" s="151"/>
      <c r="C19" s="152"/>
      <c r="D19" s="153" t="str">
        <f aca="false">IF(G19=F19,"","ATTENTION : le total par grp. floristiques doit être égal")</f>
        <v>ATTENTION : le total par grp. floristiques doit être égal</v>
      </c>
      <c r="E19" s="154" t="str">
        <f aca="false">IF(G19=F19,"","au total par grp. Fonctionnels !")</f>
        <v>au total par grp. Fonctionnels !</v>
      </c>
      <c r="F19" s="155" t="n">
        <f aca="false">SUM(F11:F15)</f>
        <v>68.023</v>
      </c>
      <c r="G19" s="155" t="n">
        <f aca="false">SUM(G16:G18)</f>
        <v>87.556</v>
      </c>
      <c r="H19" s="156"/>
      <c r="I19" s="157"/>
      <c r="J19" s="158"/>
      <c r="K19" s="159"/>
      <c r="L19" s="160"/>
      <c r="M19" s="161"/>
      <c r="N19" s="60"/>
      <c r="O19" s="162"/>
      <c r="P19" s="148"/>
      <c r="Q19" s="10"/>
      <c r="R19" s="10"/>
      <c r="S19" s="10"/>
      <c r="T19" s="10"/>
      <c r="U19" s="10"/>
      <c r="V19" s="10" t="s">
        <v>54</v>
      </c>
      <c r="W19" s="149"/>
    </row>
    <row r="20" customFormat="false" ht="12.75" hidden="false" customHeight="false" outlineLevel="0" collapsed="false">
      <c r="A20" s="163" t="s">
        <v>55</v>
      </c>
      <c r="B20" s="164" t="n">
        <f aca="false">SUM(B23:B82)</f>
        <v>103.53</v>
      </c>
      <c r="C20" s="165" t="n">
        <f aca="false">SUM(C23:C82)</f>
        <v>0.04</v>
      </c>
      <c r="D20" s="166"/>
      <c r="E20" s="167" t="s">
        <v>52</v>
      </c>
      <c r="F20" s="168" t="n">
        <f aca="false">($B20*$B$7+$C20*$C$7)/100</f>
        <v>88.0065</v>
      </c>
      <c r="G20" s="169"/>
      <c r="H20" s="170"/>
      <c r="I20" s="171"/>
      <c r="J20" s="171"/>
      <c r="K20" s="172"/>
      <c r="L20" s="47"/>
      <c r="M20" s="173"/>
      <c r="N20" s="173"/>
      <c r="O20" s="174"/>
      <c r="P20" s="175"/>
      <c r="Q20" s="176" t="s">
        <v>56</v>
      </c>
      <c r="R20" s="10"/>
      <c r="S20" s="10"/>
      <c r="T20" s="10"/>
      <c r="U20" s="10"/>
      <c r="V20" s="10" t="s">
        <v>57</v>
      </c>
      <c r="W20" s="149"/>
    </row>
    <row r="21" customFormat="false" ht="12.75" hidden="false" customHeight="false" outlineLevel="0" collapsed="false">
      <c r="A21" s="177" t="s">
        <v>58</v>
      </c>
      <c r="B21" s="178" t="n">
        <f aca="false">B20*B7/100</f>
        <v>88.0005</v>
      </c>
      <c r="C21" s="178" t="n">
        <f aca="false">C20*C7/100</f>
        <v>0.006</v>
      </c>
      <c r="D21" s="110" t="str">
        <f aca="false">IF(F21=0,"",IF((ABS(F21-F19))&gt;(0.2*F21),CONCATENATE(" rec. par taxa (",F21," %) supérieur à 20 % !"),""))</f>
        <v> rec. par taxa (88,0065 %) supérieur à 20 % !</v>
      </c>
      <c r="E21" s="179" t="str">
        <f aca="false">IF(F21=0,"",IF((ABS(F21-F19))&gt;(0.2*F21),CONCATENATE("ATTENTION : écart entre rec. par grp (",F19," %) ","et",""),""))</f>
        <v>ATTENTION : écart entre rec. par grp (68,023 %) et</v>
      </c>
      <c r="F21" s="180" t="n">
        <f aca="false">B21+C21</f>
        <v>88.0065</v>
      </c>
      <c r="G21" s="181"/>
      <c r="H21" s="110"/>
      <c r="I21" s="182"/>
      <c r="J21" s="182"/>
      <c r="K21" s="183"/>
      <c r="L21" s="183"/>
      <c r="M21" s="184"/>
      <c r="N21" s="184"/>
      <c r="O21" s="185"/>
      <c r="P21" s="186"/>
      <c r="Q21" s="187" t="s">
        <v>59</v>
      </c>
      <c r="R21" s="10"/>
      <c r="S21" s="10"/>
      <c r="T21" s="10"/>
      <c r="U21" s="10"/>
      <c r="V21" s="10" t="s">
        <v>60</v>
      </c>
      <c r="W21" s="149"/>
    </row>
    <row r="22" customFormat="false" ht="12.75" hidden="false" customHeight="false" outlineLevel="0" collapsed="false">
      <c r="A22" s="188" t="s">
        <v>61</v>
      </c>
      <c r="B22" s="189" t="s">
        <v>62</v>
      </c>
      <c r="C22" s="190" t="s">
        <v>62</v>
      </c>
      <c r="D22" s="139"/>
      <c r="E22" s="139"/>
      <c r="F22" s="191" t="s">
        <v>63</v>
      </c>
      <c r="G22" s="192" t="s">
        <v>64</v>
      </c>
      <c r="H22" s="139"/>
      <c r="I22" s="193" t="s">
        <v>65</v>
      </c>
      <c r="J22" s="193" t="s">
        <v>66</v>
      </c>
      <c r="K22" s="194" t="s">
        <v>67</v>
      </c>
      <c r="L22" s="194"/>
      <c r="M22" s="194"/>
      <c r="N22" s="194"/>
      <c r="O22" s="194"/>
      <c r="P22" s="195" t="s">
        <v>68</v>
      </c>
      <c r="Q22" s="196" t="s">
        <v>69</v>
      </c>
      <c r="R22" s="197" t="s">
        <v>70</v>
      </c>
      <c r="S22" s="198" t="s">
        <v>71</v>
      </c>
      <c r="T22" s="199" t="s">
        <v>72</v>
      </c>
      <c r="U22" s="200" t="s">
        <v>73</v>
      </c>
      <c r="V22" s="198" t="s">
        <v>74</v>
      </c>
      <c r="Y22" s="10" t="s">
        <v>75</v>
      </c>
      <c r="Z22" s="10" t="s">
        <v>76</v>
      </c>
      <c r="AA22" s="201" t="s">
        <v>77</v>
      </c>
      <c r="AB22" s="201" t="s">
        <v>78</v>
      </c>
      <c r="AC22" s="202" t="s">
        <v>79</v>
      </c>
    </row>
    <row r="23" customFormat="false" ht="12.75" hidden="false" customHeight="false" outlineLevel="0" collapsed="false">
      <c r="A23" s="203" t="s">
        <v>80</v>
      </c>
      <c r="B23" s="204" t="n">
        <v>0.01</v>
      </c>
      <c r="C23" s="205" t="n">
        <v>0</v>
      </c>
      <c r="D23" s="206" t="str">
        <f aca="false">IF(ISERROR(VLOOKUP($A23,'[1]liste reference'!$A$7:$D$892,2,0)),IF(ISERROR(VLOOKUP($A23,'[1]liste reference'!$B$7:$D$892,1,0)),"",VLOOKUP($A23,'[1]liste reference'!$B$7:$D$892,1,0)),VLOOKUP($A23,'[1]liste reference'!$A$7:$D$892,2,0))</f>
        <v>Cladophora sp.</v>
      </c>
      <c r="E23" s="206" t="e">
        <f aca="false">IF(D23="",0,VLOOKUP(D23,D$22:D22,1,0))</f>
        <v>#N/A</v>
      </c>
      <c r="F23" s="207" t="n">
        <f aca="false">($B23*$B$7+$C23*$C$7)/100</f>
        <v>0.0085</v>
      </c>
      <c r="G23" s="208" t="str">
        <f aca="false">IF(A23="","",IF(ISERROR(VLOOKUP($A23,'[1]liste reference'!$A$7:$P$892,13,0)),IF(ISERROR(VLOOKUP($A23,'[1]liste reference'!$B$7:$P$892,12,0)),"    -",VLOOKUP($A23,'[1]liste reference'!$B$7:$P$892,12,0)),VLOOKUP($A23,'[1]liste reference'!$A$7:$P$892,13,0)))</f>
        <v>ALG</v>
      </c>
      <c r="H23" s="209" t="n">
        <f aca="false">IF(A23="","x",IF(ISERROR(VLOOKUP($A23,'[1]liste reference'!$A$7:$P$892,14,0)),IF(ISERROR(VLOOKUP($A23,'[1]liste reference'!$B$7:$P$892,13,0)),"x",VLOOKUP($A23,'[1]liste reference'!$B$7:$P$892,13,0)),VLOOKUP($A23,'[1]liste reference'!$A$7:$P$892,14,0)))</f>
        <v>2</v>
      </c>
      <c r="I23" s="210" t="n">
        <f aca="false">IF(ISNUMBER(H23),IF(ISERROR(VLOOKUP($A23,'[1]liste reference'!$A$7:$P$892,3,0)),IF(ISERROR(VLOOKUP($A23,'[1]liste reference'!$B$7:$P$892,2,0)),"",VLOOKUP($A23,'[1]liste reference'!$B$7:$P$892,2,0)),VLOOKUP($A23,'[1]liste reference'!$A$7:$P$892,3,0)),"")</f>
        <v>6</v>
      </c>
      <c r="J23" s="211" t="n">
        <f aca="false">IF(ISNUMBER(H23),IF(ISERROR(VLOOKUP($A23,'[1]liste reference'!$A$7:$P$892,4,0)),IF(ISERROR(VLOOKUP($A23,'[1]liste reference'!$B$7:$P$892,3,0)),"",VLOOKUP($A23,'[1]liste reference'!$B$7:$P$892,3,0)),VLOOKUP($A23,'[1]liste reference'!$A$7:$P$892,4,0)),"")</f>
        <v>1</v>
      </c>
      <c r="K23" s="212" t="str">
        <f aca="false">IF(A23="NEWCOD",IF(AB23="","Remplir le champs 'Nouveau taxa' svp.",$AB23),IF(ISTEXT($E23),"DEJA SAISI !",IF(A23="","",IF(ISERROR(VLOOKUP($A23,'[1]liste reference'!$A$7:$D$892,2,0)),IF(ISERROR(VLOOKUP($A23,'[1]liste reference'!$B$7:$D$892,1,0)),"code non répertorié ou synonyme",VLOOKUP($A23,'[1]liste reference'!$B$7:$D$892,1,0)),VLOOKUP(A23,'[1]liste reference'!$A$7:$D$892,2,0)))))</f>
        <v>Cladophora sp.</v>
      </c>
      <c r="L23" s="213"/>
      <c r="M23" s="213"/>
      <c r="N23" s="213"/>
      <c r="O23" s="214" t="str">
        <f aca="false">IF(AA23="Cf.","Cf.","")</f>
        <v/>
      </c>
      <c r="P23" s="214" t="n">
        <f aca="false">IF($A23="NEWCOD",IF($AC23="","No",$AC23),IF(ISTEXT($E23),"DEJA SAISI !",IF($A23="","",IF(ISERROR(VLOOKUP($A23,'[1]liste reference'!A$1:S$1048576,19,FALSE())),IF(ISERROR(VLOOKUP($A23,'[1]liste reference'!B$1:S$1048576,19,FALSE())),"",VLOOKUP($A23,'[1]liste reference'!B$1:S$1048576,19,FALSE())),VLOOKUP($A23,'[1]liste reference'!A$1:S$1048576,19,FALSE())))))</f>
        <v>1124</v>
      </c>
      <c r="Q23" s="215" t="n">
        <f aca="false">IF(ISTEXT(H23),"",(B23*$B$7/100)+(C23*$C$7/100))</f>
        <v>0.0085</v>
      </c>
      <c r="R23" s="216" t="n">
        <f aca="false">IF(OR(ISTEXT(H23),Q23=0),"",IF(Q23&lt;0.1,1,IF(Q23&lt;1,2,IF(Q23&lt;10,3,IF(Q23&lt;50,4,IF(Q23&gt;=50,5,""))))))</f>
        <v>1</v>
      </c>
      <c r="S23" s="216" t="n">
        <f aca="false">IF(ISERROR(R23*I23),0,R23*I23)</f>
        <v>6</v>
      </c>
      <c r="T23" s="216" t="n">
        <f aca="false">IF(ISERROR(R23*I23*J23),0,R23*I23*J23)</f>
        <v>6</v>
      </c>
      <c r="U23" s="216" t="n">
        <f aca="false">IF(ISERROR(R23*J23),0,R23*J23)</f>
        <v>1</v>
      </c>
      <c r="V23" s="217" t="n">
        <v>1</v>
      </c>
      <c r="W23" s="218"/>
      <c r="X23" s="218"/>
      <c r="Y23" s="219" t="str">
        <f aca="false">IF(A23="new.cod","NEWCOD",IF(AND((Z23=""),ISTEXT(A23)),A23,IF(Z23="","",INDEX('[1]liste reference'!$A$7:$A$892,Z23))))</f>
        <v>CLASPX</v>
      </c>
      <c r="Z23" s="10" t="n">
        <f aca="false">IF(ISERROR(MATCH(A23,'[1]liste reference'!$A$7:$A$892,0)),IF(ISERROR(MATCH(A23,'[1]liste reference'!$B$7:$B$892,0)),"",(MATCH(A23,'[1]liste reference'!$B$7:$B$892,0))),(MATCH(A23,'[1]liste reference'!$A$7:$A$892,0)))</f>
        <v>182</v>
      </c>
      <c r="AA23" s="220"/>
      <c r="AB23" s="221"/>
      <c r="AC23" s="221"/>
      <c r="BC23" s="10" t="n">
        <f aca="false">IF(A23="","",1)</f>
        <v>1</v>
      </c>
    </row>
    <row r="24" customFormat="false" ht="12.75" hidden="false" customHeight="false" outlineLevel="0" collapsed="false">
      <c r="A24" s="222" t="s">
        <v>81</v>
      </c>
      <c r="B24" s="223" t="n">
        <v>0.01</v>
      </c>
      <c r="C24" s="224" t="n">
        <v>0</v>
      </c>
      <c r="D24" s="225" t="str">
        <f aca="false">IF(ISERROR(VLOOKUP($A24,'[1]liste reference'!$A$7:$D$892,2,0)),IF(ISERROR(VLOOKUP($A24,'[1]liste reference'!$B$7:$D$892,1,0)),"",VLOOKUP($A24,'[1]liste reference'!$B$7:$D$892,1,0)),VLOOKUP($A24,'[1]liste reference'!$A$7:$D$892,2,0))</f>
        <v>Spirogyra sp.</v>
      </c>
      <c r="E24" s="225" t="e">
        <f aca="false">IF(D24="",0,VLOOKUP(D24,D$22:D23,1,0))</f>
        <v>#N/A</v>
      </c>
      <c r="F24" s="226" t="n">
        <f aca="false">($B24*$B$7+$C24*$C$7)/100</f>
        <v>0.0085</v>
      </c>
      <c r="G24" s="227" t="str">
        <f aca="false">IF(A24="","",IF(ISERROR(VLOOKUP($A24,'[1]liste reference'!$A$7:$P$892,13,0)),IF(ISERROR(VLOOKUP($A24,'[1]liste reference'!$B$7:$P$892,12,0)),"    -",VLOOKUP($A24,'[1]liste reference'!$B$7:$P$892,12,0)),VLOOKUP($A24,'[1]liste reference'!$A$7:$P$892,13,0)))</f>
        <v>ALG</v>
      </c>
      <c r="H24" s="209" t="n">
        <f aca="false">IF(A24="","x",IF(ISERROR(VLOOKUP($A24,'[1]liste reference'!$A$7:$P$892,14,0)),IF(ISERROR(VLOOKUP($A24,'[1]liste reference'!$B$7:$P$892,13,0)),"x",VLOOKUP($A24,'[1]liste reference'!$B$7:$P$892,13,0)),VLOOKUP($A24,'[1]liste reference'!$A$7:$P$892,14,0)))</f>
        <v>2</v>
      </c>
      <c r="I24" s="228" t="n">
        <f aca="false">IF(ISNUMBER(H24),IF(ISERROR(VLOOKUP($A24,'[1]liste reference'!$A$7:$P$892,3,0)),IF(ISERROR(VLOOKUP($A24,'[1]liste reference'!$B$7:$P$892,2,0)),"",VLOOKUP($A24,'[1]liste reference'!$B$7:$P$892,2,0)),VLOOKUP($A24,'[1]liste reference'!$A$7:$P$892,3,0)),"")</f>
        <v>10</v>
      </c>
      <c r="J24" s="211" t="n">
        <f aca="false">IF(ISNUMBER(H24),IF(ISERROR(VLOOKUP($A24,'[1]liste reference'!$A$7:$P$892,4,0)),IF(ISERROR(VLOOKUP($A24,'[1]liste reference'!$B$7:$P$892,3,0)),"",VLOOKUP($A24,'[1]liste reference'!$B$7:$P$892,3,0)),VLOOKUP($A24,'[1]liste reference'!$A$7:$P$892,4,0)),"")</f>
        <v>1</v>
      </c>
      <c r="K24" s="212" t="str">
        <f aca="false">IF(A24="NEWCOD",IF(AB24="","Remplir le champs 'Nouveau taxa' svp.",$AB24),IF(ISTEXT($E24),"DEJA SAISI !",IF(A24="","",IF(ISERROR(VLOOKUP($A24,'[1]liste reference'!$A$7:$D$892,2,0)),IF(ISERROR(VLOOKUP($A24,'[1]liste reference'!$B$7:$D$892,1,0)),"code non répertorié ou synonyme",VLOOKUP($A24,'[1]liste reference'!$B$7:$D$892,1,0)),VLOOKUP(A24,'[1]liste reference'!$A$7:$D$892,2,0)))))</f>
        <v>Spirogyra sp.</v>
      </c>
      <c r="L24" s="229"/>
      <c r="M24" s="229"/>
      <c r="N24" s="229"/>
      <c r="O24" s="214" t="str">
        <f aca="false">IF(AA24="Cf.","Cf.","")</f>
        <v/>
      </c>
      <c r="P24" s="214" t="n">
        <f aca="false">IF($A24="NEWCOD",IF($AC24="","No",$AC24),IF(ISTEXT($E24),"DEJA SAISI !",IF($A24="","",IF(ISERROR(VLOOKUP($A24,'[1]liste reference'!A$1:S$1048576,19,FALSE())),IF(ISERROR(VLOOKUP($A24,'[1]liste reference'!B$1:S$1048576,19,FALSE())),"",VLOOKUP($A24,'[1]liste reference'!B$1:S$1048576,19,FALSE())),VLOOKUP($A24,'[1]liste reference'!A$1:S$1048576,19,FALSE())))))</f>
        <v>1147</v>
      </c>
      <c r="Q24" s="215" t="n">
        <f aca="false">IF(ISTEXT(H24),"",(B24*$B$7/100)+(C24*$C$7/100))</f>
        <v>0.0085</v>
      </c>
      <c r="R24" s="216" t="n">
        <f aca="false">IF(OR(ISTEXT(H24),Q24=0),"",IF(Q24&lt;0.1,1,IF(Q24&lt;1,2,IF(Q24&lt;10,3,IF(Q24&lt;50,4,IF(Q24&gt;=50,5,""))))))</f>
        <v>1</v>
      </c>
      <c r="S24" s="216" t="n">
        <f aca="false">IF(ISERROR(R24*I24),0,R24*I24)</f>
        <v>10</v>
      </c>
      <c r="T24" s="216" t="n">
        <f aca="false">IF(ISERROR(R24*I24*J24),0,R24*I24*J24)</f>
        <v>10</v>
      </c>
      <c r="U24" s="230" t="n">
        <f aca="false">IF(ISERROR(R24*J24),0,R24*J24)</f>
        <v>1</v>
      </c>
      <c r="V24" s="217" t="n">
        <v>1</v>
      </c>
      <c r="W24" s="231"/>
      <c r="Y24" s="219" t="str">
        <f aca="false">IF(A24="new.cod","NEWCOD",IF(AND((Z24=""),ISTEXT(A24)),A24,IF(Z24="","",INDEX('[1]liste reference'!$A$7:$A$892,Z24))))</f>
        <v>SPISPX</v>
      </c>
      <c r="Z24" s="10" t="n">
        <f aca="false">IF(ISERROR(MATCH(A24,'[1]liste reference'!$A$7:$A$892,0)),IF(ISERROR(MATCH(A24,'[1]liste reference'!$B$7:$B$892,0)),"",(MATCH(A24,'[1]liste reference'!$B$7:$B$892,0))),(MATCH(A24,'[1]liste reference'!$A$7:$A$892,0)))</f>
        <v>815</v>
      </c>
      <c r="AA24" s="220"/>
      <c r="AB24" s="221"/>
      <c r="AC24" s="221"/>
      <c r="BC24" s="10" t="n">
        <f aca="false">IF(A24="","",1)</f>
        <v>1</v>
      </c>
    </row>
    <row r="25" customFormat="false" ht="12.75" hidden="false" customHeight="false" outlineLevel="0" collapsed="false">
      <c r="A25" s="222" t="s">
        <v>82</v>
      </c>
      <c r="B25" s="223" t="n">
        <v>0.01</v>
      </c>
      <c r="C25" s="224" t="n">
        <v>0</v>
      </c>
      <c r="D25" s="225" t="str">
        <f aca="false">IF(ISERROR(VLOOKUP($A25,'[1]liste reference'!$A$7:$D$892,2,0)),IF(ISERROR(VLOOKUP($A25,'[1]liste reference'!$B$7:$D$892,1,0)),"",VLOOKUP($A25,'[1]liste reference'!$B$7:$D$892,1,0)),VLOOKUP($A25,'[1]liste reference'!$A$7:$D$892,2,0))</f>
        <v>Vaucheria sp.</v>
      </c>
      <c r="E25" s="225" t="e">
        <f aca="false">IF(D25="",0,VLOOKUP(D25,D$22:D24,1,0))</f>
        <v>#N/A</v>
      </c>
      <c r="F25" s="226" t="n">
        <f aca="false">($B25*$B$7+$C25*$C$7)/100</f>
        <v>0.0085</v>
      </c>
      <c r="G25" s="227" t="str">
        <f aca="false">IF(A25="","",IF(ISERROR(VLOOKUP($A25,'[1]liste reference'!$A$7:$P$892,13,0)),IF(ISERROR(VLOOKUP($A25,'[1]liste reference'!$B$7:$P$892,12,0)),"    -",VLOOKUP($A25,'[1]liste reference'!$B$7:$P$892,12,0)),VLOOKUP($A25,'[1]liste reference'!$A$7:$P$892,13,0)))</f>
        <v>ALG</v>
      </c>
      <c r="H25" s="209" t="n">
        <f aca="false">IF(A25="","x",IF(ISERROR(VLOOKUP($A25,'[1]liste reference'!$A$7:$P$892,14,0)),IF(ISERROR(VLOOKUP($A25,'[1]liste reference'!$B$7:$P$892,13,0)),"x",VLOOKUP($A25,'[1]liste reference'!$B$7:$P$892,13,0)),VLOOKUP($A25,'[1]liste reference'!$A$7:$P$892,14,0)))</f>
        <v>2</v>
      </c>
      <c r="I25" s="228" t="n">
        <f aca="false">IF(ISNUMBER(H25),IF(ISERROR(VLOOKUP($A25,'[1]liste reference'!$A$7:$P$892,3,0)),IF(ISERROR(VLOOKUP($A25,'[1]liste reference'!$B$7:$P$892,2,0)),"",VLOOKUP($A25,'[1]liste reference'!$B$7:$P$892,2,0)),VLOOKUP($A25,'[1]liste reference'!$A$7:$P$892,3,0)),"")</f>
        <v>4</v>
      </c>
      <c r="J25" s="211" t="n">
        <f aca="false">IF(ISNUMBER(H25),IF(ISERROR(VLOOKUP($A25,'[1]liste reference'!$A$7:$P$892,4,0)),IF(ISERROR(VLOOKUP($A25,'[1]liste reference'!$B$7:$P$892,3,0)),"",VLOOKUP($A25,'[1]liste reference'!$B$7:$P$892,3,0)),VLOOKUP($A25,'[1]liste reference'!$A$7:$P$892,4,0)),"")</f>
        <v>1</v>
      </c>
      <c r="K25" s="212" t="str">
        <f aca="false">IF(A25="NEWCOD",IF(AB25="","Remplir le champs 'Nouveau taxa' svp.",$AB25),IF(ISTEXT($E25),"DEJA SAISI !",IF(A25="","",IF(ISERROR(VLOOKUP($A25,'[1]liste reference'!$A$7:$D$892,2,0)),IF(ISERROR(VLOOKUP($A25,'[1]liste reference'!$B$7:$D$892,1,0)),"code non répertorié ou synonyme",VLOOKUP($A25,'[1]liste reference'!$B$7:$D$892,1,0)),VLOOKUP(A25,'[1]liste reference'!$A$7:$D$892,2,0)))))</f>
        <v>Vaucheria sp.</v>
      </c>
      <c r="L25" s="229"/>
      <c r="M25" s="229"/>
      <c r="N25" s="229"/>
      <c r="O25" s="214" t="str">
        <f aca="false">IF(AA25="Cf.","Cf.","")</f>
        <v/>
      </c>
      <c r="P25" s="214" t="n">
        <f aca="false">IF($A25="NEWCOD",IF($AC25="","No",$AC25),IF(ISTEXT($E25),"DEJA SAISI !",IF($A25="","",IF(ISERROR(VLOOKUP($A25,'[1]liste reference'!A$1:S$1048576,19,FALSE())),IF(ISERROR(VLOOKUP($A25,'[1]liste reference'!B$1:S$1048576,19,FALSE())),"",VLOOKUP($A25,'[1]liste reference'!B$1:S$1048576,19,FALSE())),VLOOKUP($A25,'[1]liste reference'!A$1:S$1048576,19,FALSE())))))</f>
        <v>6193</v>
      </c>
      <c r="Q25" s="215" t="n">
        <f aca="false">IF(ISTEXT(H25),"",(B25*$B$7/100)+(C25*$C$7/100))</f>
        <v>0.0085</v>
      </c>
      <c r="R25" s="216" t="n">
        <f aca="false">IF(OR(ISTEXT(H25),Q25=0),"",IF(Q25&lt;0.1,1,IF(Q25&lt;1,2,IF(Q25&lt;10,3,IF(Q25&lt;50,4,IF(Q25&gt;=50,5,""))))))</f>
        <v>1</v>
      </c>
      <c r="S25" s="216" t="n">
        <f aca="false">IF(ISERROR(R25*I25),0,R25*I25)</f>
        <v>4</v>
      </c>
      <c r="T25" s="216" t="n">
        <f aca="false">IF(ISERROR(R25*I25*J25),0,R25*I25*J25)</f>
        <v>4</v>
      </c>
      <c r="U25" s="230" t="n">
        <f aca="false">IF(ISERROR(R25*J25),0,R25*J25)</f>
        <v>1</v>
      </c>
      <c r="V25" s="217" t="n">
        <v>1</v>
      </c>
      <c r="W25" s="218"/>
      <c r="Y25" s="219" t="str">
        <f aca="false">IF(A25="new.cod","NEWCOD",IF(AND((Z25=""),ISTEXT(A25)),A25,IF(Z25="","",INDEX('[1]liste reference'!$A$7:$A$892,Z25))))</f>
        <v>VAUSPX</v>
      </c>
      <c r="Z25" s="10" t="n">
        <f aca="false">IF(ISERROR(MATCH(A25,'[1]liste reference'!$A$7:$A$892,0)),IF(ISERROR(MATCH(A25,'[1]liste reference'!$B$7:$B$892,0)),"",(MATCH(A25,'[1]liste reference'!$B$7:$B$892,0))),(MATCH(A25,'[1]liste reference'!$A$7:$A$892,0)))</f>
        <v>864</v>
      </c>
      <c r="AA25" s="220"/>
      <c r="AB25" s="221"/>
      <c r="AC25" s="221"/>
      <c r="BC25" s="10" t="n">
        <f aca="false">IF(A25="","",1)</f>
        <v>1</v>
      </c>
    </row>
    <row r="26" customFormat="false" ht="12.75" hidden="false" customHeight="false" outlineLevel="0" collapsed="false">
      <c r="A26" s="222" t="s">
        <v>83</v>
      </c>
      <c r="B26" s="223" t="n">
        <v>0.5</v>
      </c>
      <c r="C26" s="224" t="n">
        <v>0</v>
      </c>
      <c r="D26" s="225" t="str">
        <f aca="false">IF(ISERROR(VLOOKUP($A26,'[1]liste reference'!$A$7:$D$892,2,0)),IF(ISERROR(VLOOKUP($A26,'[1]liste reference'!$B$7:$D$892,1,0)),"",VLOOKUP($A26,'[1]liste reference'!$B$7:$D$892,1,0)),VLOOKUP($A26,'[1]liste reference'!$A$7:$D$892,2,0))</f>
        <v>Ceratophyllum demersum</v>
      </c>
      <c r="E26" s="225" t="e">
        <f aca="false">IF(D26="",0,VLOOKUP(D26,D$22:D25,1,0))</f>
        <v>#N/A</v>
      </c>
      <c r="F26" s="226" t="n">
        <f aca="false">($B26*$B$7+$C26*$C$7)/100</f>
        <v>0.425</v>
      </c>
      <c r="G26" s="227" t="str">
        <f aca="false">IF(A26="","",IF(ISERROR(VLOOKUP($A26,'[1]liste reference'!$A$7:$P$892,13,0)),IF(ISERROR(VLOOKUP($A26,'[1]liste reference'!$B$7:$P$892,12,0)),"    -",VLOOKUP($A26,'[1]liste reference'!$B$7:$P$892,12,0)),VLOOKUP($A26,'[1]liste reference'!$A$7:$P$892,13,0)))</f>
        <v>PHy</v>
      </c>
      <c r="H26" s="209" t="n">
        <f aca="false">IF(A26="","x",IF(ISERROR(VLOOKUP($A26,'[1]liste reference'!$A$7:$P$892,14,0)),IF(ISERROR(VLOOKUP($A26,'[1]liste reference'!$B$7:$P$892,13,0)),"x",VLOOKUP($A26,'[1]liste reference'!$B$7:$P$892,13,0)),VLOOKUP($A26,'[1]liste reference'!$A$7:$P$892,14,0)))</f>
        <v>7</v>
      </c>
      <c r="I26" s="228" t="n">
        <f aca="false">IF(ISNUMBER(H26),IF(ISERROR(VLOOKUP($A26,'[1]liste reference'!$A$7:$P$892,3,0)),IF(ISERROR(VLOOKUP($A26,'[1]liste reference'!$B$7:$P$892,2,0)),"",VLOOKUP($A26,'[1]liste reference'!$B$7:$P$892,2,0)),VLOOKUP($A26,'[1]liste reference'!$A$7:$P$892,3,0)),"")</f>
        <v>5</v>
      </c>
      <c r="J26" s="211" t="n">
        <f aca="false">IF(ISNUMBER(H26),IF(ISERROR(VLOOKUP($A26,'[1]liste reference'!$A$7:$P$892,4,0)),IF(ISERROR(VLOOKUP($A26,'[1]liste reference'!$B$7:$P$892,3,0)),"",VLOOKUP($A26,'[1]liste reference'!$B$7:$P$892,3,0)),VLOOKUP($A26,'[1]liste reference'!$A$7:$P$892,4,0)),"")</f>
        <v>2</v>
      </c>
      <c r="K26" s="212" t="str">
        <f aca="false">IF(A26="NEWCOD",IF(AB26="","Remplir le champs 'Nouveau taxa' svp.",$AB26),IF(ISTEXT($E26),"DEJA SAISI !",IF(A26="","",IF(ISERROR(VLOOKUP($A26,'[1]liste reference'!$A$7:$D$892,2,0)),IF(ISERROR(VLOOKUP($A26,'[1]liste reference'!$B$7:$D$892,1,0)),"code non répertorié ou synonyme",VLOOKUP($A26,'[1]liste reference'!$B$7:$D$892,1,0)),VLOOKUP(A26,'[1]liste reference'!$A$7:$D$892,2,0)))))</f>
        <v>Ceratophyllum demersum</v>
      </c>
      <c r="L26" s="229"/>
      <c r="M26" s="229"/>
      <c r="N26" s="229"/>
      <c r="O26" s="214" t="str">
        <f aca="false">IF(AA26="Cf.","Cf.","")</f>
        <v/>
      </c>
      <c r="P26" s="214" t="n">
        <f aca="false">IF($A26="NEWCOD",IF($AC26="","No",$AC26),IF(ISTEXT($E26),"DEJA SAISI !",IF($A26="","",IF(ISERROR(VLOOKUP($A26,'[1]liste reference'!A$1:S$1048576,19,FALSE())),IF(ISERROR(VLOOKUP($A26,'[1]liste reference'!B$1:S$1048576,19,FALSE())),"",VLOOKUP($A26,'[1]liste reference'!B$1:S$1048576,19,FALSE())),VLOOKUP($A26,'[1]liste reference'!A$1:S$1048576,19,FALSE())))))</f>
        <v>1717</v>
      </c>
      <c r="Q26" s="215" t="n">
        <f aca="false">IF(ISTEXT(H26),"",(B26*$B$7/100)+(C26*$C$7/100))</f>
        <v>0.425</v>
      </c>
      <c r="R26" s="216" t="n">
        <f aca="false">IF(OR(ISTEXT(H26),Q26=0),"",IF(Q26&lt;0.1,1,IF(Q26&lt;1,2,IF(Q26&lt;10,3,IF(Q26&lt;50,4,IF(Q26&gt;=50,5,""))))))</f>
        <v>2</v>
      </c>
      <c r="S26" s="216" t="n">
        <f aca="false">IF(ISERROR(R26*I26),0,R26*I26)</f>
        <v>10</v>
      </c>
      <c r="T26" s="216" t="n">
        <f aca="false">IF(ISERROR(R26*I26*J26),0,R26*I26*J26)</f>
        <v>20</v>
      </c>
      <c r="U26" s="230" t="n">
        <f aca="false">IF(ISERROR(R26*J26),0,R26*J26)</f>
        <v>4</v>
      </c>
      <c r="V26" s="217" t="n">
        <v>4</v>
      </c>
      <c r="W26" s="218"/>
      <c r="Y26" s="219" t="str">
        <f aca="false">IF(A26="new.cod","NEWCOD",IF(AND((Z26=""),ISTEXT(A26)),A26,IF(Z26="","",INDEX('[1]liste reference'!$A$7:$A$892,Z26))))</f>
        <v>CERDEM</v>
      </c>
      <c r="Z26" s="10" t="n">
        <f aca="false">IF(ISERROR(MATCH(A26,'[1]liste reference'!$A$7:$A$892,0)),IF(ISERROR(MATCH(A26,'[1]liste reference'!$B$7:$B$892,0)),"",(MATCH(A26,'[1]liste reference'!$B$7:$B$892,0))),(MATCH(A26,'[1]liste reference'!$A$7:$A$892,0)))</f>
        <v>146</v>
      </c>
      <c r="AA26" s="220"/>
      <c r="AB26" s="221"/>
      <c r="AC26" s="221"/>
      <c r="BC26" s="10" t="n">
        <f aca="false">IF(A26="","",1)</f>
        <v>1</v>
      </c>
    </row>
    <row r="27" customFormat="false" ht="12.75" hidden="false" customHeight="false" outlineLevel="0" collapsed="false">
      <c r="A27" s="222" t="s">
        <v>84</v>
      </c>
      <c r="B27" s="223" t="n">
        <v>20</v>
      </c>
      <c r="C27" s="224" t="n">
        <v>0</v>
      </c>
      <c r="D27" s="225" t="str">
        <f aca="false">IF(ISERROR(VLOOKUP($A27,'[1]liste reference'!$A$7:$D$892,2,0)),IF(ISERROR(VLOOKUP($A27,'[1]liste reference'!$B$7:$D$892,1,0)),"",VLOOKUP($A27,'[1]liste reference'!$B$7:$D$892,1,0)),VLOOKUP($A27,'[1]liste reference'!$A$7:$D$892,2,0))</f>
        <v>Myriophyllum spicatum</v>
      </c>
      <c r="E27" s="225" t="e">
        <f aca="false">IF(D27="",0,VLOOKUP(D27,D$22:D26,1,0))</f>
        <v>#N/A</v>
      </c>
      <c r="F27" s="226" t="n">
        <f aca="false">($B27*$B$7+$C27*$C$7)/100</f>
        <v>17</v>
      </c>
      <c r="G27" s="227" t="str">
        <f aca="false">IF(A27="","",IF(ISERROR(VLOOKUP($A27,'[1]liste reference'!$A$7:$P$892,13,0)),IF(ISERROR(VLOOKUP($A27,'[1]liste reference'!$B$7:$P$892,12,0)),"    -",VLOOKUP($A27,'[1]liste reference'!$B$7:$P$892,12,0)),VLOOKUP($A27,'[1]liste reference'!$A$7:$P$892,13,0)))</f>
        <v>PHy</v>
      </c>
      <c r="H27" s="209" t="n">
        <f aca="false">IF(A27="","x",IF(ISERROR(VLOOKUP($A27,'[1]liste reference'!$A$7:$P$892,14,0)),IF(ISERROR(VLOOKUP($A27,'[1]liste reference'!$B$7:$P$892,13,0)),"x",VLOOKUP($A27,'[1]liste reference'!$B$7:$P$892,13,0)),VLOOKUP($A27,'[1]liste reference'!$A$7:$P$892,14,0)))</f>
        <v>7</v>
      </c>
      <c r="I27" s="228" t="n">
        <f aca="false">IF(ISNUMBER(H27),IF(ISERROR(VLOOKUP($A27,'[1]liste reference'!$A$7:$P$892,3,0)),IF(ISERROR(VLOOKUP($A27,'[1]liste reference'!$B$7:$P$892,2,0)),"",VLOOKUP($A27,'[1]liste reference'!$B$7:$P$892,2,0)),VLOOKUP($A27,'[1]liste reference'!$A$7:$P$892,3,0)),"")</f>
        <v>8</v>
      </c>
      <c r="J27" s="211" t="n">
        <f aca="false">IF(ISNUMBER(H27),IF(ISERROR(VLOOKUP($A27,'[1]liste reference'!$A$7:$P$892,4,0)),IF(ISERROR(VLOOKUP($A27,'[1]liste reference'!$B$7:$P$892,3,0)),"",VLOOKUP($A27,'[1]liste reference'!$B$7:$P$892,3,0)),VLOOKUP($A27,'[1]liste reference'!$A$7:$P$892,4,0)),"")</f>
        <v>2</v>
      </c>
      <c r="K27" s="212" t="str">
        <f aca="false">IF(A27="NEWCOD",IF(AB27="","Remplir le champs 'Nouveau taxa' svp.",$AB27),IF(ISTEXT($E27),"DEJA SAISI !",IF(A27="","",IF(ISERROR(VLOOKUP($A27,'[1]liste reference'!$A$7:$D$892,2,0)),IF(ISERROR(VLOOKUP($A27,'[1]liste reference'!$B$7:$D$892,1,0)),"code non répertorié ou synonyme",VLOOKUP($A27,'[1]liste reference'!$B$7:$D$892,1,0)),VLOOKUP(A27,'[1]liste reference'!$A$7:$D$892,2,0)))))</f>
        <v>Myriophyllum spicatum</v>
      </c>
      <c r="L27" s="229"/>
      <c r="M27" s="229"/>
      <c r="N27" s="229"/>
      <c r="O27" s="214" t="str">
        <f aca="false">IF(AA27="Cf.","Cf.","")</f>
        <v/>
      </c>
      <c r="P27" s="214" t="n">
        <f aca="false">IF($A27="NEWCOD",IF($AC27="","No",$AC27),IF(ISTEXT($E27),"DEJA SAISI !",IF($A27="","",IF(ISERROR(VLOOKUP($A27,'[1]liste reference'!A$1:S$1048576,19,FALSE())),IF(ISERROR(VLOOKUP($A27,'[1]liste reference'!B$1:S$1048576,19,FALSE())),"",VLOOKUP($A27,'[1]liste reference'!B$1:S$1048576,19,FALSE())),VLOOKUP($A27,'[1]liste reference'!A$1:S$1048576,19,FALSE())))))</f>
        <v>1778</v>
      </c>
      <c r="Q27" s="215" t="n">
        <f aca="false">IF(ISTEXT(H27),"",(B27*$B$7/100)+(C27*$C$7/100))</f>
        <v>17</v>
      </c>
      <c r="R27" s="216" t="n">
        <f aca="false">IF(OR(ISTEXT(H27),Q27=0),"",IF(Q27&lt;0.1,1,IF(Q27&lt;1,2,IF(Q27&lt;10,3,IF(Q27&lt;50,4,IF(Q27&gt;=50,5,""))))))</f>
        <v>4</v>
      </c>
      <c r="S27" s="216" t="n">
        <f aca="false">IF(ISERROR(R27*I27),0,R27*I27)</f>
        <v>32</v>
      </c>
      <c r="T27" s="216" t="n">
        <f aca="false">IF(ISERROR(R27*I27*J27),0,R27*I27*J27)</f>
        <v>64</v>
      </c>
      <c r="U27" s="230" t="n">
        <f aca="false">IF(ISERROR(R27*J27),0,R27*J27)</f>
        <v>8</v>
      </c>
      <c r="V27" s="217" t="n">
        <v>8</v>
      </c>
      <c r="W27" s="218"/>
      <c r="Y27" s="219" t="str">
        <f aca="false">IF(A27="new.cod","NEWCOD",IF(AND((Z27=""),ISTEXT(A27)),A27,IF(Z27="","",INDEX('[1]liste reference'!$A$7:$A$892,Z27))))</f>
        <v>MYRSPI</v>
      </c>
      <c r="Z27" s="10" t="n">
        <f aca="false">IF(ISERROR(MATCH(A27,'[1]liste reference'!$A$7:$A$892,0)),IF(ISERROR(MATCH(A27,'[1]liste reference'!$B$7:$B$892,0)),"",(MATCH(A27,'[1]liste reference'!$B$7:$B$892,0))),(MATCH(A27,'[1]liste reference'!$A$7:$A$892,0)))</f>
        <v>495</v>
      </c>
      <c r="AA27" s="220"/>
      <c r="AB27" s="221"/>
      <c r="AC27" s="221"/>
      <c r="BC27" s="10" t="n">
        <f aca="false">IF(A27="","",1)</f>
        <v>1</v>
      </c>
    </row>
    <row r="28" customFormat="false" ht="12.75" hidden="false" customHeight="false" outlineLevel="0" collapsed="false">
      <c r="A28" s="222" t="s">
        <v>85</v>
      </c>
      <c r="B28" s="223" t="n">
        <v>5</v>
      </c>
      <c r="C28" s="224" t="n">
        <v>0</v>
      </c>
      <c r="D28" s="225" t="str">
        <f aca="false">IF(ISERROR(VLOOKUP($A28,'[1]liste reference'!$A$7:$D$892,2,0)),IF(ISERROR(VLOOKUP($A28,'[1]liste reference'!$B$7:$D$892,1,0)),"",VLOOKUP($A28,'[1]liste reference'!$B$7:$D$892,1,0)),VLOOKUP($A28,'[1]liste reference'!$A$7:$D$892,2,0))</f>
        <v>Nuphar lutea</v>
      </c>
      <c r="E28" s="225" t="e">
        <f aca="false">IF(D28="",0,VLOOKUP(D28,D$22:D27,1,0))</f>
        <v>#N/A</v>
      </c>
      <c r="F28" s="226" t="n">
        <f aca="false">($B28*$B$7+$C28*$C$7)/100</f>
        <v>4.25</v>
      </c>
      <c r="G28" s="227" t="str">
        <f aca="false">IF(A28="","",IF(ISERROR(VLOOKUP($A28,'[1]liste reference'!$A$7:$P$892,13,0)),IF(ISERROR(VLOOKUP($A28,'[1]liste reference'!$B$7:$P$892,12,0)),"    -",VLOOKUP($A28,'[1]liste reference'!$B$7:$P$892,12,0)),VLOOKUP($A28,'[1]liste reference'!$A$7:$P$892,13,0)))</f>
        <v>PHy</v>
      </c>
      <c r="H28" s="209" t="n">
        <f aca="false">IF(A28="","x",IF(ISERROR(VLOOKUP($A28,'[1]liste reference'!$A$7:$P$892,14,0)),IF(ISERROR(VLOOKUP($A28,'[1]liste reference'!$B$7:$P$892,13,0)),"x",VLOOKUP($A28,'[1]liste reference'!$B$7:$P$892,13,0)),VLOOKUP($A28,'[1]liste reference'!$A$7:$P$892,14,0)))</f>
        <v>7</v>
      </c>
      <c r="I28" s="228" t="n">
        <f aca="false">IF(ISNUMBER(H28),IF(ISERROR(VLOOKUP($A28,'[1]liste reference'!$A$7:$P$892,3,0)),IF(ISERROR(VLOOKUP($A28,'[1]liste reference'!$B$7:$P$892,2,0)),"",VLOOKUP($A28,'[1]liste reference'!$B$7:$P$892,2,0)),VLOOKUP($A28,'[1]liste reference'!$A$7:$P$892,3,0)),"")</f>
        <v>9</v>
      </c>
      <c r="J28" s="211" t="n">
        <f aca="false">IF(ISNUMBER(H28),IF(ISERROR(VLOOKUP($A28,'[1]liste reference'!$A$7:$P$892,4,0)),IF(ISERROR(VLOOKUP($A28,'[1]liste reference'!$B$7:$P$892,3,0)),"",VLOOKUP($A28,'[1]liste reference'!$B$7:$P$892,3,0)),VLOOKUP($A28,'[1]liste reference'!$A$7:$P$892,4,0)),"")</f>
        <v>1</v>
      </c>
      <c r="K28" s="212" t="str">
        <f aca="false">IF(A28="NEWCOD",IF(AB28="","Remplir le champs 'Nouveau taxa' svp.",$AB28),IF(ISTEXT($E28),"DEJA SAISI !",IF(A28="","",IF(ISERROR(VLOOKUP($A28,'[1]liste reference'!$A$7:$D$892,2,0)),IF(ISERROR(VLOOKUP($A28,'[1]liste reference'!$B$7:$D$892,1,0)),"code non répertorié ou synonyme",VLOOKUP($A28,'[1]liste reference'!$B$7:$D$892,1,0)),VLOOKUP(A28,'[1]liste reference'!$A$7:$D$892,2,0)))))</f>
        <v>Nuphar lutea</v>
      </c>
      <c r="L28" s="229"/>
      <c r="M28" s="229"/>
      <c r="N28" s="229"/>
      <c r="O28" s="214" t="str">
        <f aca="false">IF(AA28="Cf.","Cf.","")</f>
        <v/>
      </c>
      <c r="P28" s="214" t="n">
        <f aca="false">IF($A28="NEWCOD",IF($AC28="","No",$AC28),IF(ISTEXT($E28),"DEJA SAISI !",IF($A28="","",IF(ISERROR(VLOOKUP($A28,'[1]liste reference'!A$1:S$1048576,19,FALSE())),IF(ISERROR(VLOOKUP($A28,'[1]liste reference'!B$1:S$1048576,19,FALSE())),"",VLOOKUP($A28,'[1]liste reference'!B$1:S$1048576,19,FALSE())),VLOOKUP($A28,'[1]liste reference'!A$1:S$1048576,19,FALSE())))))</f>
        <v>1839</v>
      </c>
      <c r="Q28" s="215" t="n">
        <f aca="false">IF(ISTEXT(H28),"",(B28*$B$7/100)+(C28*$C$7/100))</f>
        <v>4.25</v>
      </c>
      <c r="R28" s="216" t="n">
        <f aca="false">IF(OR(ISTEXT(H28),Q28=0),"",IF(Q28&lt;0.1,1,IF(Q28&lt;1,2,IF(Q28&lt;10,3,IF(Q28&lt;50,4,IF(Q28&gt;=50,5,""))))))</f>
        <v>3</v>
      </c>
      <c r="S28" s="216" t="n">
        <f aca="false">IF(ISERROR(R28*I28),0,R28*I28)</f>
        <v>27</v>
      </c>
      <c r="T28" s="216" t="n">
        <f aca="false">IF(ISERROR(R28*I28*J28),0,R28*I28*J28)</f>
        <v>27</v>
      </c>
      <c r="U28" s="230" t="n">
        <f aca="false">IF(ISERROR(R28*J28),0,R28*J28)</f>
        <v>3</v>
      </c>
      <c r="V28" s="217" t="n">
        <v>3</v>
      </c>
      <c r="W28" s="218"/>
      <c r="Y28" s="219" t="str">
        <f aca="false">IF(A28="new.cod","NEWCOD",IF(AND((Z28=""),ISTEXT(A28)),A28,IF(Z28="","",INDEX('[1]liste reference'!$A$7:$A$892,Z28))))</f>
        <v>NUPLUT</v>
      </c>
      <c r="Z28" s="10" t="n">
        <f aca="false">IF(ISERROR(MATCH(A28,'[1]liste reference'!$A$7:$A$892,0)),IF(ISERROR(MATCH(A28,'[1]liste reference'!$B$7:$B$892,0)),"",(MATCH(A28,'[1]liste reference'!$B$7:$B$892,0))),(MATCH(A28,'[1]liste reference'!$A$7:$A$892,0)))</f>
        <v>529</v>
      </c>
      <c r="AA28" s="220"/>
      <c r="AB28" s="221"/>
      <c r="AC28" s="221"/>
      <c r="BC28" s="10" t="n">
        <f aca="false">IF(A28="","",1)</f>
        <v>1</v>
      </c>
    </row>
    <row r="29" customFormat="false" ht="12.75" hidden="false" customHeight="false" outlineLevel="0" collapsed="false">
      <c r="A29" s="222" t="s">
        <v>86</v>
      </c>
      <c r="B29" s="223" t="n">
        <v>40</v>
      </c>
      <c r="C29" s="224" t="n">
        <v>0</v>
      </c>
      <c r="D29" s="225" t="str">
        <f aca="false">IF(ISERROR(VLOOKUP($A29,'[1]liste reference'!$A$7:$D$892,2,0)),IF(ISERROR(VLOOKUP($A29,'[1]liste reference'!$B$7:$D$892,1,0)),"",VLOOKUP($A29,'[1]liste reference'!$B$7:$D$892,1,0)),VLOOKUP($A29,'[1]liste reference'!$A$7:$D$892,2,0))</f>
        <v>Potamogeton natans</v>
      </c>
      <c r="E29" s="225" t="e">
        <f aca="false">IF(D29="",0,VLOOKUP(D29,D$22:D28,1,0))</f>
        <v>#N/A</v>
      </c>
      <c r="F29" s="226" t="n">
        <f aca="false">($B29*$B$7+$C29*$C$7)/100</f>
        <v>34</v>
      </c>
      <c r="G29" s="227" t="str">
        <f aca="false">IF(A29="","",IF(ISERROR(VLOOKUP($A29,'[1]liste reference'!$A$7:$P$892,13,0)),IF(ISERROR(VLOOKUP($A29,'[1]liste reference'!$B$7:$P$892,12,0)),"    -",VLOOKUP($A29,'[1]liste reference'!$B$7:$P$892,12,0)),VLOOKUP($A29,'[1]liste reference'!$A$7:$P$892,13,0)))</f>
        <v>PHy</v>
      </c>
      <c r="H29" s="209" t="n">
        <f aca="false">IF(A29="","x",IF(ISERROR(VLOOKUP($A29,'[1]liste reference'!$A$7:$P$892,14,0)),IF(ISERROR(VLOOKUP($A29,'[1]liste reference'!$B$7:$P$892,13,0)),"x",VLOOKUP($A29,'[1]liste reference'!$B$7:$P$892,13,0)),VLOOKUP($A29,'[1]liste reference'!$A$7:$P$892,14,0)))</f>
        <v>7</v>
      </c>
      <c r="I29" s="228" t="n">
        <f aca="false">IF(ISNUMBER(H29),IF(ISERROR(VLOOKUP($A29,'[1]liste reference'!$A$7:$P$892,3,0)),IF(ISERROR(VLOOKUP($A29,'[1]liste reference'!$B$7:$P$892,2,0)),"",VLOOKUP($A29,'[1]liste reference'!$B$7:$P$892,2,0)),VLOOKUP($A29,'[1]liste reference'!$A$7:$P$892,3,0)),"")</f>
        <v>12</v>
      </c>
      <c r="J29" s="211" t="n">
        <f aca="false">IF(ISNUMBER(H29),IF(ISERROR(VLOOKUP($A29,'[1]liste reference'!$A$7:$P$892,4,0)),IF(ISERROR(VLOOKUP($A29,'[1]liste reference'!$B$7:$P$892,3,0)),"",VLOOKUP($A29,'[1]liste reference'!$B$7:$P$892,3,0)),VLOOKUP($A29,'[1]liste reference'!$A$7:$P$892,4,0)),"")</f>
        <v>1</v>
      </c>
      <c r="K29" s="212" t="str">
        <f aca="false">IF(A29="NEWCOD",IF(AB29="","Remplir le champs 'Nouveau taxa' svp.",$AB29),IF(ISTEXT($E29),"DEJA SAISI !",IF(A29="","",IF(ISERROR(VLOOKUP($A29,'[1]liste reference'!$A$7:$D$892,2,0)),IF(ISERROR(VLOOKUP($A29,'[1]liste reference'!$B$7:$D$892,1,0)),"code non répertorié ou synonyme",VLOOKUP($A29,'[1]liste reference'!$B$7:$D$892,1,0)),VLOOKUP(A29,'[1]liste reference'!$A$7:$D$892,2,0)))))</f>
        <v>Potamogeton natans</v>
      </c>
      <c r="L29" s="229"/>
      <c r="M29" s="229"/>
      <c r="N29" s="229"/>
      <c r="O29" s="214" t="str">
        <f aca="false">IF(AA29="Cf.","Cf.","")</f>
        <v/>
      </c>
      <c r="P29" s="214" t="n">
        <f aca="false">IF($A29="NEWCOD",IF($AC29="","No",$AC29),IF(ISTEXT($E29),"DEJA SAISI !",IF($A29="","",IF(ISERROR(VLOOKUP($A29,'[1]liste reference'!A$1:S$1048576,19,FALSE())),IF(ISERROR(VLOOKUP($A29,'[1]liste reference'!B$1:S$1048576,19,FALSE())),"",VLOOKUP($A29,'[1]liste reference'!B$1:S$1048576,19,FALSE())),VLOOKUP($A29,'[1]liste reference'!A$1:S$1048576,19,FALSE())))))</f>
        <v>165</v>
      </c>
      <c r="Q29" s="215" t="n">
        <f aca="false">IF(ISTEXT(H29),"",(B29*$B$7/100)+(C29*$C$7/100))</f>
        <v>34</v>
      </c>
      <c r="R29" s="216" t="n">
        <f aca="false">IF(OR(ISTEXT(H29),Q29=0),"",IF(Q29&lt;0.1,1,IF(Q29&lt;1,2,IF(Q29&lt;10,3,IF(Q29&lt;50,4,IF(Q29&gt;=50,5,""))))))</f>
        <v>4</v>
      </c>
      <c r="S29" s="216" t="n">
        <f aca="false">IF(ISERROR(R29*I29),0,R29*I29)</f>
        <v>48</v>
      </c>
      <c r="T29" s="216" t="n">
        <f aca="false">IF(ISERROR(R29*I29*J29),0,R29*I29*J29)</f>
        <v>48</v>
      </c>
      <c r="U29" s="230" t="n">
        <f aca="false">IF(ISERROR(R29*J29),0,R29*J29)</f>
        <v>4</v>
      </c>
      <c r="V29" s="217" t="n">
        <v>4</v>
      </c>
      <c r="W29" s="218"/>
      <c r="Y29" s="219" t="str">
        <f aca="false">IF(A29="new.cod","NEWCOD",IF(AND((Z29=""),ISTEXT(A29)),A29,IF(Z29="","",INDEX('[1]liste reference'!$A$7:$A$892,Z29))))</f>
        <v>POTNAT</v>
      </c>
      <c r="Z29" s="10" t="n">
        <f aca="false">IF(ISERROR(MATCH(A29,'[1]liste reference'!$A$7:$A$892,0)),IF(ISERROR(MATCH(A29,'[1]liste reference'!$B$7:$B$892,0)),"",(MATCH(A29,'[1]liste reference'!$B$7:$B$892,0))),(MATCH(A29,'[1]liste reference'!$A$7:$A$892,0)))</f>
        <v>631</v>
      </c>
      <c r="AA29" s="220"/>
      <c r="AB29" s="221"/>
      <c r="AC29" s="221"/>
      <c r="BC29" s="10" t="n">
        <f aca="false">IF(A29="","",1)</f>
        <v>1</v>
      </c>
    </row>
    <row r="30" customFormat="false" ht="12.75" hidden="false" customHeight="false" outlineLevel="0" collapsed="false">
      <c r="A30" s="222" t="s">
        <v>87</v>
      </c>
      <c r="B30" s="223" t="n">
        <v>35</v>
      </c>
      <c r="C30" s="224" t="n">
        <v>0</v>
      </c>
      <c r="D30" s="225" t="str">
        <f aca="false">IF(ISERROR(VLOOKUP($A30,'[1]liste reference'!$A$7:$D$892,2,0)),IF(ISERROR(VLOOKUP($A30,'[1]liste reference'!$B$7:$D$892,1,0)),"",VLOOKUP($A30,'[1]liste reference'!$B$7:$D$892,1,0)),VLOOKUP($A30,'[1]liste reference'!$A$7:$D$892,2,0))</f>
        <v>Potamogeton pectinatus</v>
      </c>
      <c r="E30" s="225" t="e">
        <f aca="false">IF(D30="",0,VLOOKUP(D30,D$22:D29,1,0))</f>
        <v>#N/A</v>
      </c>
      <c r="F30" s="226" t="n">
        <f aca="false">($B30*$B$7+$C30*$C$7)/100</f>
        <v>29.75</v>
      </c>
      <c r="G30" s="227" t="str">
        <f aca="false">IF(A30="","",IF(ISERROR(VLOOKUP($A30,'[1]liste reference'!$A$7:$P$892,13,0)),IF(ISERROR(VLOOKUP($A30,'[1]liste reference'!$B$7:$P$892,12,0)),"    -",VLOOKUP($A30,'[1]liste reference'!$B$7:$P$892,12,0)),VLOOKUP($A30,'[1]liste reference'!$A$7:$P$892,13,0)))</f>
        <v>PHy</v>
      </c>
      <c r="H30" s="209" t="n">
        <f aca="false">IF(A30="","x",IF(ISERROR(VLOOKUP($A30,'[1]liste reference'!$A$7:$P$892,14,0)),IF(ISERROR(VLOOKUP($A30,'[1]liste reference'!$B$7:$P$892,13,0)),"x",VLOOKUP($A30,'[1]liste reference'!$B$7:$P$892,13,0)),VLOOKUP($A30,'[1]liste reference'!$A$7:$P$892,14,0)))</f>
        <v>7</v>
      </c>
      <c r="I30" s="228" t="n">
        <f aca="false">IF(ISNUMBER(H30),IF(ISERROR(VLOOKUP($A30,'[1]liste reference'!$A$7:$P$892,3,0)),IF(ISERROR(VLOOKUP($A30,'[1]liste reference'!$B$7:$P$892,2,0)),"",VLOOKUP($A30,'[1]liste reference'!$B$7:$P$892,2,0)),VLOOKUP($A30,'[1]liste reference'!$A$7:$P$892,3,0)),"")</f>
        <v>2</v>
      </c>
      <c r="J30" s="211" t="n">
        <f aca="false">IF(ISNUMBER(H30),IF(ISERROR(VLOOKUP($A30,'[1]liste reference'!$A$7:$P$892,4,0)),IF(ISERROR(VLOOKUP($A30,'[1]liste reference'!$B$7:$P$892,3,0)),"",VLOOKUP($A30,'[1]liste reference'!$B$7:$P$892,3,0)),VLOOKUP($A30,'[1]liste reference'!$A$7:$P$892,4,0)),"")</f>
        <v>2</v>
      </c>
      <c r="K30" s="212" t="str">
        <f aca="false">IF(A30="NEWCOD",IF(AB30="","Remplir le champs 'Nouveau taxa' svp.",$AB30),IF(ISTEXT($E30),"DEJA SAISI !",IF(A30="","",IF(ISERROR(VLOOKUP($A30,'[1]liste reference'!$A$7:$D$892,2,0)),IF(ISERROR(VLOOKUP($A30,'[1]liste reference'!$B$7:$D$892,1,0)),"code non répertorié ou synonyme",VLOOKUP($A30,'[1]liste reference'!$B$7:$D$892,1,0)),VLOOKUP(A30,'[1]liste reference'!$A$7:$D$892,2,0)))))</f>
        <v>Potamogeton pectinatus</v>
      </c>
      <c r="L30" s="229"/>
      <c r="M30" s="229"/>
      <c r="N30" s="229"/>
      <c r="O30" s="214" t="str">
        <f aca="false">IF(AA30="Cf.","Cf.","")</f>
        <v/>
      </c>
      <c r="P30" s="214" t="n">
        <f aca="false">IF($A30="NEWCOD",IF($AC30="","No",$AC30),IF(ISTEXT($E30),"DEJA SAISI !",IF($A30="","",IF(ISERROR(VLOOKUP($A30,'[1]liste reference'!A$1:S$1048576,19,FALSE())),IF(ISERROR(VLOOKUP($A30,'[1]liste reference'!B$1:S$1048576,19,FALSE())),"",VLOOKUP($A30,'[1]liste reference'!B$1:S$1048576,19,FALSE())),VLOOKUP($A30,'[1]liste reference'!A$1:S$1048576,19,FALSE())))))</f>
        <v>1655</v>
      </c>
      <c r="Q30" s="215" t="n">
        <f aca="false">IF(ISTEXT(H30),"",(B30*$B$7/100)+(C30*$C$7/100))</f>
        <v>29.75</v>
      </c>
      <c r="R30" s="216" t="n">
        <f aca="false">IF(OR(ISTEXT(H30),Q30=0),"",IF(Q30&lt;0.1,1,IF(Q30&lt;1,2,IF(Q30&lt;10,3,IF(Q30&lt;50,4,IF(Q30&gt;=50,5,""))))))</f>
        <v>4</v>
      </c>
      <c r="S30" s="216" t="n">
        <f aca="false">IF(ISERROR(R30*I30),0,R30*I30)</f>
        <v>8</v>
      </c>
      <c r="T30" s="216" t="n">
        <f aca="false">IF(ISERROR(R30*I30*J30),0,R30*I30*J30)</f>
        <v>16</v>
      </c>
      <c r="U30" s="230" t="n">
        <f aca="false">IF(ISERROR(R30*J30),0,R30*J30)</f>
        <v>8</v>
      </c>
      <c r="V30" s="217" t="n">
        <v>8</v>
      </c>
      <c r="W30" s="218"/>
      <c r="Y30" s="219" t="str">
        <f aca="false">IF(A30="new.cod","NEWCOD",IF(AND((Z30=""),ISTEXT(A30)),A30,IF(Z30="","",INDEX('[1]liste reference'!$A$7:$A$892,Z30))))</f>
        <v>POTPEC</v>
      </c>
      <c r="Z30" s="10" t="n">
        <f aca="false">IF(ISERROR(MATCH(A30,'[1]liste reference'!$A$7:$A$892,0)),IF(ISERROR(MATCH(A30,'[1]liste reference'!$B$7:$B$892,0)),"",(MATCH(A30,'[1]liste reference'!$B$7:$B$892,0))),(MATCH(A30,'[1]liste reference'!$A$7:$A$892,0)))</f>
        <v>638</v>
      </c>
      <c r="AA30" s="220"/>
      <c r="AB30" s="221"/>
      <c r="AC30" s="221"/>
      <c r="BC30" s="10" t="n">
        <f aca="false">IF(A30="","",1)</f>
        <v>1</v>
      </c>
    </row>
    <row r="31" customFormat="false" ht="12.75" hidden="false" customHeight="false" outlineLevel="0" collapsed="false">
      <c r="A31" s="222" t="s">
        <v>88</v>
      </c>
      <c r="B31" s="223" t="n">
        <v>3</v>
      </c>
      <c r="C31" s="224" t="n">
        <v>0</v>
      </c>
      <c r="D31" s="225" t="str">
        <f aca="false">IF(ISERROR(VLOOKUP($A31,'[1]liste reference'!$A$7:$D$892,2,0)),IF(ISERROR(VLOOKUP($A31,'[1]liste reference'!$B$7:$D$892,1,0)),"",VLOOKUP($A31,'[1]liste reference'!$B$7:$D$892,1,0)),VLOOKUP($A31,'[1]liste reference'!$A$7:$D$892,2,0))</f>
        <v>Sparganium emersum fo. longifolium</v>
      </c>
      <c r="E31" s="225" t="e">
        <f aca="false">IF(D31="",0,VLOOKUP(D31,D$22:D30,1,0))</f>
        <v>#N/A</v>
      </c>
      <c r="F31" s="226" t="n">
        <f aca="false">($B31*$B$7+$C31*$C$7)/100</f>
        <v>2.55</v>
      </c>
      <c r="G31" s="227" t="str">
        <f aca="false">IF(A31="","",IF(ISERROR(VLOOKUP($A31,'[1]liste reference'!$A$7:$P$892,13,0)),IF(ISERROR(VLOOKUP($A31,'[1]liste reference'!$B$7:$P$892,12,0)),"    -",VLOOKUP($A31,'[1]liste reference'!$B$7:$P$892,12,0)),VLOOKUP($A31,'[1]liste reference'!$A$7:$P$892,13,0)))</f>
        <v>PHy</v>
      </c>
      <c r="H31" s="209" t="n">
        <f aca="false">IF(A31="","x",IF(ISERROR(VLOOKUP($A31,'[1]liste reference'!$A$7:$P$892,14,0)),IF(ISERROR(VLOOKUP($A31,'[1]liste reference'!$B$7:$P$892,13,0)),"x",VLOOKUP($A31,'[1]liste reference'!$B$7:$P$892,13,0)),VLOOKUP($A31,'[1]liste reference'!$A$7:$P$892,14,0)))</f>
        <v>7</v>
      </c>
      <c r="I31" s="228" t="n">
        <f aca="false">IF(ISNUMBER(H31),IF(ISERROR(VLOOKUP($A31,'[1]liste reference'!$A$7:$P$892,3,0)),IF(ISERROR(VLOOKUP($A31,'[1]liste reference'!$B$7:$P$892,2,0)),"",VLOOKUP($A31,'[1]liste reference'!$B$7:$P$892,2,0)),VLOOKUP($A31,'[1]liste reference'!$A$7:$P$892,3,0)),"")</f>
        <v>7</v>
      </c>
      <c r="J31" s="211" t="n">
        <f aca="false">IF(ISNUMBER(H31),IF(ISERROR(VLOOKUP($A31,'[1]liste reference'!$A$7:$P$892,4,0)),IF(ISERROR(VLOOKUP($A31,'[1]liste reference'!$B$7:$P$892,3,0)),"",VLOOKUP($A31,'[1]liste reference'!$B$7:$P$892,3,0)),VLOOKUP($A31,'[1]liste reference'!$A$7:$P$892,4,0)),"")</f>
        <v>1</v>
      </c>
      <c r="K31" s="212" t="str">
        <f aca="false">IF(A31="NEWCOD",IF(AB31="","Remplir le champs 'Nouveau taxa' svp.",$AB31),IF(ISTEXT($E31),"DEJA SAISI !",IF(A31="","",IF(ISERROR(VLOOKUP($A31,'[1]liste reference'!$A$7:$D$892,2,0)),IF(ISERROR(VLOOKUP($A31,'[1]liste reference'!$B$7:$D$892,1,0)),"code non répertorié ou synonyme",VLOOKUP($A31,'[1]liste reference'!$B$7:$D$892,1,0)),VLOOKUP(A31,'[1]liste reference'!$A$7:$D$892,2,0)))))</f>
        <v>Sparganium emersum fo. longifolium</v>
      </c>
      <c r="L31" s="229"/>
      <c r="M31" s="229"/>
      <c r="N31" s="229"/>
      <c r="O31" s="214" t="str">
        <f aca="false">IF(AA31="Cf.","Cf.","")</f>
        <v/>
      </c>
      <c r="P31" s="214" t="n">
        <f aca="false">IF($A31="NEWCOD",IF($AC31="","No",$AC31),IF(ISTEXT($E31),"DEJA SAISI !",IF($A31="","",IF(ISERROR(VLOOKUP($A31,'[1]liste reference'!A$1:S$1048576,19,FALSE())),IF(ISERROR(VLOOKUP($A31,'[1]liste reference'!B$1:S$1048576,19,FALSE())),"",VLOOKUP($A31,'[1]liste reference'!B$1:S$1048576,19,FALSE())),VLOOKUP($A31,'[1]liste reference'!A$1:S$1048576,19,FALSE())))))</f>
        <v>19695</v>
      </c>
      <c r="Q31" s="215" t="n">
        <f aca="false">IF(ISTEXT(H31),"",(B31*$B$7/100)+(C31*$C$7/100))</f>
        <v>2.55</v>
      </c>
      <c r="R31" s="216" t="n">
        <f aca="false">IF(OR(ISTEXT(H31),Q31=0),"",IF(Q31&lt;0.1,1,IF(Q31&lt;1,2,IF(Q31&lt;10,3,IF(Q31&lt;50,4,IF(Q31&gt;=50,5,""))))))</f>
        <v>3</v>
      </c>
      <c r="S31" s="216" t="n">
        <f aca="false">IF(ISERROR(R31*I31),0,R31*I31)</f>
        <v>21</v>
      </c>
      <c r="T31" s="216" t="n">
        <f aca="false">IF(ISERROR(R31*I31*J31),0,R31*I31*J31)</f>
        <v>21</v>
      </c>
      <c r="U31" s="230" t="n">
        <f aca="false">IF(ISERROR(R31*J31),0,R31*J31)</f>
        <v>3</v>
      </c>
      <c r="V31" s="217" t="n">
        <v>3</v>
      </c>
      <c r="W31" s="218"/>
      <c r="Y31" s="219" t="str">
        <f aca="false">IF(A31="new.cod","NEWCOD",IF(AND((Z31=""),ISTEXT(A31)),A31,IF(Z31="","",INDEX('[1]liste reference'!$A$7:$A$892,Z31))))</f>
        <v>SPAEML</v>
      </c>
      <c r="Z31" s="10" t="n">
        <f aca="false">IF(ISERROR(MATCH(A31,'[1]liste reference'!$A$7:$A$892,0)),IF(ISERROR(MATCH(A31,'[1]liste reference'!$B$7:$B$892,0)),"",(MATCH(A31,'[1]liste reference'!$B$7:$B$892,0))),(MATCH(A31,'[1]liste reference'!$A$7:$A$892,0)))</f>
        <v>792</v>
      </c>
      <c r="AA31" s="220"/>
      <c r="AB31" s="221"/>
      <c r="AC31" s="221"/>
      <c r="BC31" s="10" t="n">
        <f aca="false">IF(A31="","",1)</f>
        <v>1</v>
      </c>
    </row>
    <row r="32" customFormat="false" ht="12.75" hidden="false" customHeight="false" outlineLevel="0" collapsed="false">
      <c r="A32" s="222" t="s">
        <v>89</v>
      </c>
      <c r="B32" s="223" t="n">
        <v>0</v>
      </c>
      <c r="C32" s="224" t="n">
        <v>0.02</v>
      </c>
      <c r="D32" s="225" t="str">
        <f aca="false">IF(ISERROR(VLOOKUP($A32,'[1]liste reference'!$A$7:$D$892,2,0)),IF(ISERROR(VLOOKUP($A32,'[1]liste reference'!$B$7:$D$892,1,0)),"",VLOOKUP($A32,'[1]liste reference'!$B$7:$D$892,1,0)),VLOOKUP($A32,'[1]liste reference'!$A$7:$D$892,2,0))</f>
        <v>Spirodela polyrhiza</v>
      </c>
      <c r="E32" s="225" t="e">
        <f aca="false">IF(D32="",0,VLOOKUP(D32,D$22:D31,1,0))</f>
        <v>#N/A</v>
      </c>
      <c r="F32" s="226" t="n">
        <f aca="false">($B32*$B$7+$C32*$C$7)/100</f>
        <v>0.003</v>
      </c>
      <c r="G32" s="227" t="str">
        <f aca="false">IF(A32="","",IF(ISERROR(VLOOKUP($A32,'[1]liste reference'!$A$7:$P$892,13,0)),IF(ISERROR(VLOOKUP($A32,'[1]liste reference'!$B$7:$P$892,12,0)),"    -",VLOOKUP($A32,'[1]liste reference'!$B$7:$P$892,12,0)),VLOOKUP($A32,'[1]liste reference'!$A$7:$P$892,13,0)))</f>
        <v>PHy</v>
      </c>
      <c r="H32" s="209" t="n">
        <f aca="false">IF(A32="","x",IF(ISERROR(VLOOKUP($A32,'[1]liste reference'!$A$7:$P$892,14,0)),IF(ISERROR(VLOOKUP($A32,'[1]liste reference'!$B$7:$P$892,13,0)),"x",VLOOKUP($A32,'[1]liste reference'!$B$7:$P$892,13,0)),VLOOKUP($A32,'[1]liste reference'!$A$7:$P$892,14,0)))</f>
        <v>7</v>
      </c>
      <c r="I32" s="228" t="n">
        <f aca="false">IF(ISNUMBER(H32),IF(ISERROR(VLOOKUP($A32,'[1]liste reference'!$A$7:$P$892,3,0)),IF(ISERROR(VLOOKUP($A32,'[1]liste reference'!$B$7:$P$892,2,0)),"",VLOOKUP($A32,'[1]liste reference'!$B$7:$P$892,2,0)),VLOOKUP($A32,'[1]liste reference'!$A$7:$P$892,3,0)),"")</f>
        <v>6</v>
      </c>
      <c r="J32" s="211" t="n">
        <f aca="false">IF(ISNUMBER(H32),IF(ISERROR(VLOOKUP($A32,'[1]liste reference'!$A$7:$P$892,4,0)),IF(ISERROR(VLOOKUP($A32,'[1]liste reference'!$B$7:$P$892,3,0)),"",VLOOKUP($A32,'[1]liste reference'!$B$7:$P$892,3,0)),VLOOKUP($A32,'[1]liste reference'!$A$7:$P$892,4,0)),"")</f>
        <v>2</v>
      </c>
      <c r="K32" s="212" t="str">
        <f aca="false">IF(A32="NEWCOD",IF(AB32="","Remplir le champs 'Nouveau taxa' svp.",$AB32),IF(ISTEXT($E32),"DEJA SAISI !",IF(A32="","",IF(ISERROR(VLOOKUP($A32,'[1]liste reference'!$A$7:$D$892,2,0)),IF(ISERROR(VLOOKUP($A32,'[1]liste reference'!$B$7:$D$892,1,0)),"code non répertorié ou synonyme",VLOOKUP($A32,'[1]liste reference'!$B$7:$D$892,1,0)),VLOOKUP(A32,'[1]liste reference'!$A$7:$D$892,2,0)))))</f>
        <v>Spirodela polyrhiza</v>
      </c>
      <c r="L32" s="229"/>
      <c r="M32" s="229"/>
      <c r="N32" s="229"/>
      <c r="O32" s="214" t="str">
        <f aca="false">IF(AA32="Cf.","Cf.","")</f>
        <v/>
      </c>
      <c r="P32" s="214" t="n">
        <f aca="false">IF($A32="NEWCOD",IF($AC32="","No",$AC32),IF(ISTEXT($E32),"DEJA SAISI !",IF($A32="","",IF(ISERROR(VLOOKUP($A32,'[1]liste reference'!A$1:S$1048576,19,FALSE())),IF(ISERROR(VLOOKUP($A32,'[1]liste reference'!B$1:S$1048576,19,FALSE())),"",VLOOKUP($A32,'[1]liste reference'!B$1:S$1048576,19,FALSE())),VLOOKUP($A32,'[1]liste reference'!A$1:S$1048576,19,FALSE())))))</f>
        <v>163</v>
      </c>
      <c r="Q32" s="215" t="n">
        <f aca="false">IF(ISTEXT(H32),"",(B32*$B$7/100)+(C32*$C$7/100))</f>
        <v>0.003</v>
      </c>
      <c r="R32" s="216" t="n">
        <f aca="false">IF(OR(ISTEXT(H32),Q32=0),"",IF(Q32&lt;0.1,1,IF(Q32&lt;1,2,IF(Q32&lt;10,3,IF(Q32&lt;50,4,IF(Q32&gt;=50,5,""))))))</f>
        <v>1</v>
      </c>
      <c r="S32" s="216" t="n">
        <f aca="false">IF(ISERROR(R32*I32),0,R32*I32)</f>
        <v>6</v>
      </c>
      <c r="T32" s="216" t="n">
        <f aca="false">IF(ISERROR(R32*I32*J32),0,R32*I32*J32)</f>
        <v>12</v>
      </c>
      <c r="U32" s="230" t="n">
        <f aca="false">IF(ISERROR(R32*J32),0,R32*J32)</f>
        <v>2</v>
      </c>
      <c r="V32" s="217" t="n">
        <v>2</v>
      </c>
      <c r="W32" s="218"/>
      <c r="Y32" s="219" t="str">
        <f aca="false">IF(A32="new.cod","NEWCOD",IF(AND((Z32=""),ISTEXT(A32)),A32,IF(Z32="","",INDEX('[1]liste reference'!$A$7:$A$892,Z32))))</f>
        <v>SPRPOL</v>
      </c>
      <c r="Z32" s="10" t="n">
        <f aca="false">IF(ISERROR(MATCH(A32,'[1]liste reference'!$A$7:$A$892,0)),IF(ISERROR(MATCH(A32,'[1]liste reference'!$B$7:$B$892,0)),"",(MATCH(A32,'[1]liste reference'!$B$7:$B$892,0))),(MATCH(A32,'[1]liste reference'!$A$7:$A$892,0)))</f>
        <v>816</v>
      </c>
      <c r="AA32" s="220"/>
      <c r="AB32" s="221"/>
      <c r="AC32" s="221"/>
      <c r="BC32" s="10" t="n">
        <f aca="false">IF(A32="","",1)</f>
        <v>1</v>
      </c>
    </row>
    <row r="33" customFormat="false" ht="12.75" hidden="false" customHeight="false" outlineLevel="0" collapsed="false">
      <c r="A33" s="222" t="s">
        <v>90</v>
      </c>
      <c r="B33" s="223" t="n">
        <v>0</v>
      </c>
      <c r="C33" s="224" t="n">
        <v>0.01</v>
      </c>
      <c r="D33" s="225" t="str">
        <f aca="false">IF(ISERROR(VLOOKUP($A33,'[1]liste reference'!$A$7:$D$892,2,0)),IF(ISERROR(VLOOKUP($A33,'[1]liste reference'!$B$7:$D$892,1,0)),"",VLOOKUP($A33,'[1]liste reference'!$B$7:$D$892,1,0)),VLOOKUP($A33,'[1]liste reference'!$A$7:$D$892,2,0))</f>
        <v>Lycopus europaeus</v>
      </c>
      <c r="E33" s="225" t="e">
        <f aca="false">IF(D33="",0,VLOOKUP(D33,D$22:D32,1,0))</f>
        <v>#N/A</v>
      </c>
      <c r="F33" s="226" t="n">
        <f aca="false">($B33*$B$7+$C33*$C$7)/100</f>
        <v>0.0015</v>
      </c>
      <c r="G33" s="227" t="str">
        <f aca="false">IF(A33="","",IF(ISERROR(VLOOKUP($A33,'[1]liste reference'!$A$7:$P$892,13,0)),IF(ISERROR(VLOOKUP($A33,'[1]liste reference'!$B$7:$P$892,12,0)),"    -",VLOOKUP($A33,'[1]liste reference'!$B$7:$P$892,12,0)),VLOOKUP($A33,'[1]liste reference'!$A$7:$P$892,13,0)))</f>
        <v>PHe</v>
      </c>
      <c r="H33" s="209" t="n">
        <f aca="false">IF(A33="","x",IF(ISERROR(VLOOKUP($A33,'[1]liste reference'!$A$7:$P$892,14,0)),IF(ISERROR(VLOOKUP($A33,'[1]liste reference'!$B$7:$P$892,13,0)),"x",VLOOKUP($A33,'[1]liste reference'!$B$7:$P$892,13,0)),VLOOKUP($A33,'[1]liste reference'!$A$7:$P$892,14,0)))</f>
        <v>8</v>
      </c>
      <c r="I33" s="228" t="n">
        <f aca="false">IF(ISNUMBER(H33),IF(ISERROR(VLOOKUP($A33,'[1]liste reference'!$A$7:$P$892,3,0)),IF(ISERROR(VLOOKUP($A33,'[1]liste reference'!$B$7:$P$892,2,0)),"",VLOOKUP($A33,'[1]liste reference'!$B$7:$P$892,2,0)),VLOOKUP($A33,'[1]liste reference'!$A$7:$P$892,3,0)),"")</f>
        <v>11</v>
      </c>
      <c r="J33" s="211" t="n">
        <f aca="false">IF(ISNUMBER(H33),IF(ISERROR(VLOOKUP($A33,'[1]liste reference'!$A$7:$P$892,4,0)),IF(ISERROR(VLOOKUP($A33,'[1]liste reference'!$B$7:$P$892,3,0)),"",VLOOKUP($A33,'[1]liste reference'!$B$7:$P$892,3,0)),VLOOKUP($A33,'[1]liste reference'!$A$7:$P$892,4,0)),"")</f>
        <v>1</v>
      </c>
      <c r="K33" s="212" t="str">
        <f aca="false">IF(A33="NEWCOD",IF(AB33="","Remplir le champs 'Nouveau taxa' svp.",$AB33),IF(ISTEXT($E33),"DEJA SAISI !",IF(A33="","",IF(ISERROR(VLOOKUP($A33,'[1]liste reference'!$A$7:$D$892,2,0)),IF(ISERROR(VLOOKUP($A33,'[1]liste reference'!$B$7:$D$892,1,0)),"code non répertorié ou synonyme",VLOOKUP($A33,'[1]liste reference'!$B$7:$D$892,1,0)),VLOOKUP(A33,'[1]liste reference'!$A$7:$D$892,2,0)))))</f>
        <v>Lycopus europaeus</v>
      </c>
      <c r="L33" s="229"/>
      <c r="M33" s="229"/>
      <c r="N33" s="229"/>
      <c r="O33" s="214" t="str">
        <f aca="false">IF(AA33="Cf.","Cf.","")</f>
        <v/>
      </c>
      <c r="P33" s="214" t="n">
        <f aca="false">IF($A33="NEWCOD",IF($AC33="","No",$AC33),IF(ISTEXT($E33),"DEJA SAISI !",IF($A33="","",IF(ISERROR(VLOOKUP($A33,'[1]liste reference'!A$1:S$1048576,19,FALSE())),IF(ISERROR(VLOOKUP($A33,'[1]liste reference'!B$1:S$1048576,19,FALSE())),"",VLOOKUP($A33,'[1]liste reference'!B$1:S$1048576,19,FALSE())),VLOOKUP($A33,'[1]liste reference'!A$1:S$1048576,19,FALSE())))))</f>
        <v>1789</v>
      </c>
      <c r="Q33" s="215" t="n">
        <f aca="false">IF(ISTEXT(H33),"",(B33*$B$7/100)+(C33*$C$7/100))</f>
        <v>0.0015</v>
      </c>
      <c r="R33" s="216" t="n">
        <f aca="false">IF(OR(ISTEXT(H33),Q33=0),"",IF(Q33&lt;0.1,1,IF(Q33&lt;1,2,IF(Q33&lt;10,3,IF(Q33&lt;50,4,IF(Q33&gt;=50,5,""))))))</f>
        <v>1</v>
      </c>
      <c r="S33" s="216" t="n">
        <f aca="false">IF(ISERROR(R33*I33),0,R33*I33)</f>
        <v>11</v>
      </c>
      <c r="T33" s="216" t="n">
        <f aca="false">IF(ISERROR(R33*I33*J33),0,R33*I33*J33)</f>
        <v>11</v>
      </c>
      <c r="U33" s="230" t="n">
        <f aca="false">IF(ISERROR(R33*J33),0,R33*J33)</f>
        <v>1</v>
      </c>
      <c r="V33" s="217" t="n">
        <v>1</v>
      </c>
      <c r="W33" s="218"/>
      <c r="Y33" s="219" t="str">
        <f aca="false">IF(A33="new.cod","NEWCOD",IF(AND((Z33=""),ISTEXT(A33)),A33,IF(Z33="","",INDEX('[1]liste reference'!$A$7:$A$892,Z33))))</f>
        <v>LYCEUR</v>
      </c>
      <c r="Z33" s="10" t="n">
        <f aca="false">IF(ISERROR(MATCH(A33,'[1]liste reference'!$A$7:$A$892,0)),IF(ISERROR(MATCH(A33,'[1]liste reference'!$B$7:$B$892,0)),"",(MATCH(A33,'[1]liste reference'!$B$7:$B$892,0))),(MATCH(A33,'[1]liste reference'!$A$7:$A$892,0)))</f>
        <v>433</v>
      </c>
      <c r="AA33" s="220"/>
      <c r="AB33" s="221"/>
      <c r="AC33" s="221"/>
      <c r="BC33" s="10" t="n">
        <f aca="false">IF(A33="","",1)</f>
        <v>1</v>
      </c>
    </row>
    <row r="34" customFormat="false" ht="12.75" hidden="false" customHeight="false" outlineLevel="0" collapsed="false">
      <c r="A34" s="222" t="s">
        <v>91</v>
      </c>
      <c r="B34" s="223" t="n">
        <v>0</v>
      </c>
      <c r="C34" s="224" t="n">
        <v>0.01</v>
      </c>
      <c r="D34" s="225" t="str">
        <f aca="false">IF(ISERROR(VLOOKUP($A34,'[1]liste reference'!$A$7:$D$892,2,0)),IF(ISERROR(VLOOKUP($A34,'[1]liste reference'!$B$7:$D$892,1,0)),"",VLOOKUP($A34,'[1]liste reference'!$B$7:$D$892,1,0)),VLOOKUP($A34,'[1]liste reference'!$A$7:$D$892,2,0))</f>
        <v>Mentha aquatica</v>
      </c>
      <c r="E34" s="225" t="e">
        <f aca="false">IF(D34="",0,VLOOKUP(D34,D$22:D33,1,0))</f>
        <v>#N/A</v>
      </c>
      <c r="F34" s="232" t="n">
        <f aca="false">($B34*$B$7+$C34*$C$7)/100</f>
        <v>0.0015</v>
      </c>
      <c r="G34" s="227" t="str">
        <f aca="false">IF(A34="","",IF(ISERROR(VLOOKUP($A34,'[1]liste reference'!$A$7:$P$892,13,0)),IF(ISERROR(VLOOKUP($A34,'[1]liste reference'!$B$7:$P$892,12,0)),"    -",VLOOKUP($A34,'[1]liste reference'!$B$7:$P$892,12,0)),VLOOKUP($A34,'[1]liste reference'!$A$7:$P$892,13,0)))</f>
        <v>PHe</v>
      </c>
      <c r="H34" s="209" t="n">
        <f aca="false">IF(A34="","x",IF(ISERROR(VLOOKUP($A34,'[1]liste reference'!$A$7:$P$892,14,0)),IF(ISERROR(VLOOKUP($A34,'[1]liste reference'!$B$7:$P$892,13,0)),"x",VLOOKUP($A34,'[1]liste reference'!$B$7:$P$892,13,0)),VLOOKUP($A34,'[1]liste reference'!$A$7:$P$892,14,0)))</f>
        <v>8</v>
      </c>
      <c r="I34" s="228" t="n">
        <f aca="false">IF(ISNUMBER(H34),IF(ISERROR(VLOOKUP($A34,'[1]liste reference'!$A$7:$P$892,3,0)),IF(ISERROR(VLOOKUP($A34,'[1]liste reference'!$B$7:$P$892,2,0)),"",VLOOKUP($A34,'[1]liste reference'!$B$7:$P$892,2,0)),VLOOKUP($A34,'[1]liste reference'!$A$7:$P$892,3,0)),"")</f>
        <v>12</v>
      </c>
      <c r="J34" s="211" t="n">
        <f aca="false">IF(ISNUMBER(H34),IF(ISERROR(VLOOKUP($A34,'[1]liste reference'!$A$7:$P$892,4,0)),IF(ISERROR(VLOOKUP($A34,'[1]liste reference'!$B$7:$P$892,3,0)),"",VLOOKUP($A34,'[1]liste reference'!$B$7:$P$892,3,0)),VLOOKUP($A34,'[1]liste reference'!$A$7:$P$892,4,0)),"")</f>
        <v>1</v>
      </c>
      <c r="K34" s="212" t="str">
        <f aca="false">IF(A34="NEWCOD",IF(AB34="","Remplir le champs 'Nouveau taxa' svp.",$AB34),IF(ISTEXT($E34),"DEJA SAISI !",IF(A34="","",IF(ISERROR(VLOOKUP($A34,'[1]liste reference'!$A$7:$D$892,2,0)),IF(ISERROR(VLOOKUP($A34,'[1]liste reference'!$B$7:$D$892,1,0)),"code non répertorié ou synonyme",VLOOKUP($A34,'[1]liste reference'!$B$7:$D$892,1,0)),VLOOKUP(A34,'[1]liste reference'!$A$7:$D$892,2,0)))))</f>
        <v>Mentha aquatica</v>
      </c>
      <c r="L34" s="229"/>
      <c r="M34" s="229"/>
      <c r="N34" s="229"/>
      <c r="O34" s="214" t="str">
        <f aca="false">IF(AA34="Cf.","Cf.","")</f>
        <v/>
      </c>
      <c r="P34" s="214" t="n">
        <f aca="false">IF($A34="NEWCOD",IF($AC34="","No",$AC34),IF(ISTEXT($E34),"DEJA SAISI !",IF($A34="","",IF(ISERROR(VLOOKUP($A34,'[1]liste reference'!A$1:S$1048576,19,FALSE())),IF(ISERROR(VLOOKUP($A34,'[1]liste reference'!B$1:S$1048576,19,FALSE())),"",VLOOKUP($A34,'[1]liste reference'!B$1:S$1048576,19,FALSE())),VLOOKUP($A34,'[1]liste reference'!A$1:S$1048576,19,FALSE())))))</f>
        <v>1791</v>
      </c>
      <c r="Q34" s="215" t="n">
        <f aca="false">IF(ISTEXT(H34),"",(B34*$B$7/100)+(C34*$C$7/100))</f>
        <v>0.0015</v>
      </c>
      <c r="R34" s="216" t="n">
        <f aca="false">IF(OR(ISTEXT(H34),Q34=0),"",IF(Q34&lt;0.1,1,IF(Q34&lt;1,2,IF(Q34&lt;10,3,IF(Q34&lt;50,4,IF(Q34&gt;=50,5,""))))))</f>
        <v>1</v>
      </c>
      <c r="S34" s="216" t="n">
        <f aca="false">IF(ISERROR(R34*I34),0,R34*I34)</f>
        <v>12</v>
      </c>
      <c r="T34" s="216" t="n">
        <f aca="false">IF(ISERROR(R34*I34*J34),0,R34*I34*J34)</f>
        <v>12</v>
      </c>
      <c r="U34" s="230" t="n">
        <f aca="false">IF(ISERROR(R34*J34),0,R34*J34)</f>
        <v>1</v>
      </c>
      <c r="V34" s="217" t="n">
        <v>1</v>
      </c>
      <c r="W34" s="218"/>
      <c r="Y34" s="219" t="str">
        <f aca="false">IF(A34="new.cod","NEWCOD",IF(AND((Z34=""),ISTEXT(A34)),A34,IF(Z34="","",INDEX('[1]liste reference'!$A$7:$A$892,Z34))))</f>
        <v>MENAQU</v>
      </c>
      <c r="Z34" s="10" t="n">
        <f aca="false">IF(ISERROR(MATCH(A34,'[1]liste reference'!$A$7:$A$892,0)),IF(ISERROR(MATCH(A34,'[1]liste reference'!$B$7:$B$892,0)),"",(MATCH(A34,'[1]liste reference'!$B$7:$B$892,0))),(MATCH(A34,'[1]liste reference'!$A$7:$A$892,0)))</f>
        <v>458</v>
      </c>
      <c r="AA34" s="220"/>
      <c r="AB34" s="221"/>
      <c r="AC34" s="221"/>
      <c r="BC34" s="10" t="n">
        <f aca="false">IF(A34="","",1)</f>
        <v>1</v>
      </c>
    </row>
    <row r="35" customFormat="false" ht="12.75" hidden="false" customHeight="false" outlineLevel="0" collapsed="false">
      <c r="A35" s="222"/>
      <c r="B35" s="223"/>
      <c r="C35" s="224"/>
      <c r="D35" s="225" t="str">
        <f aca="false">IF(ISERROR(VLOOKUP($A35,'[1]liste reference'!$A$7:$D$892,2,0)),IF(ISERROR(VLOOKUP($A35,'[1]liste reference'!$B$7:$D$892,1,0)),"",VLOOKUP($A35,'[1]liste reference'!$B$7:$D$892,1,0)),VLOOKUP($A35,'[1]liste reference'!$A$7:$D$892,2,0))</f>
        <v/>
      </c>
      <c r="E35" s="225" t="n">
        <f aca="false">IF(D35="",0,VLOOKUP(D35,D$22:D34,1,0))</f>
        <v>0</v>
      </c>
      <c r="F35" s="232" t="n">
        <f aca="false">($B35*$B$7+$C35*$C$7)/100</f>
        <v>0</v>
      </c>
      <c r="G35" s="227" t="str">
        <f aca="false">IF(A35="","",IF(ISERROR(VLOOKUP($A35,'[1]liste reference'!$A$7:$P$892,13,0)),IF(ISERROR(VLOOKUP($A35,'[1]liste reference'!$B$7:$P$892,12,0)),"    -",VLOOKUP($A35,'[1]liste reference'!$B$7:$P$892,12,0)),VLOOKUP($A35,'[1]liste reference'!$A$7:$P$892,13,0)))</f>
        <v/>
      </c>
      <c r="H35" s="209" t="str">
        <f aca="false">IF(A35="","x",IF(ISERROR(VLOOKUP($A35,'[1]liste reference'!$A$7:$P$892,14,0)),IF(ISERROR(VLOOKUP($A35,'[1]liste reference'!$B$7:$P$892,13,0)),"x",VLOOKUP($A35,'[1]liste reference'!$B$7:$P$892,13,0)),VLOOKUP($A35,'[1]liste reference'!$A$7:$P$892,14,0)))</f>
        <v>x</v>
      </c>
      <c r="I35" s="228" t="str">
        <f aca="false">IF(ISNUMBER(H35),IF(ISERROR(VLOOKUP($A35,'[1]liste reference'!$A$7:$P$892,3,0)),IF(ISERROR(VLOOKUP($A35,'[1]liste reference'!$B$7:$P$892,2,0)),"",VLOOKUP($A35,'[1]liste reference'!$B$7:$P$892,2,0)),VLOOKUP($A35,'[1]liste reference'!$A$7:$P$892,3,0)),"")</f>
        <v/>
      </c>
      <c r="J35" s="211" t="str">
        <f aca="false">IF(ISNUMBER(H35),IF(ISERROR(VLOOKUP($A35,'[1]liste reference'!$A$7:$P$892,4,0)),IF(ISERROR(VLOOKUP($A35,'[1]liste reference'!$B$7:$P$892,3,0)),"",VLOOKUP($A35,'[1]liste reference'!$B$7:$P$892,3,0)),VLOOKUP($A35,'[1]liste reference'!$A$7:$P$892,4,0)),"")</f>
        <v/>
      </c>
      <c r="K35" s="212" t="str">
        <f aca="false">IF(A35="NEWCOD",IF(AB35="","Remplir le champs 'Nouveau taxa' svp.",$AB35),IF(ISTEXT($E35),"DEJA SAISI !",IF(A35="","",IF(ISERROR(VLOOKUP($A35,'[1]liste reference'!$A$7:$D$892,2,0)),IF(ISERROR(VLOOKUP($A35,'[1]liste reference'!$B$7:$D$892,1,0)),"code non répertorié ou synonyme",VLOOKUP($A35,'[1]liste reference'!$B$7:$D$892,1,0)),VLOOKUP(A35,'[1]liste reference'!$A$7:$D$892,2,0)))))</f>
        <v/>
      </c>
      <c r="L35" s="229"/>
      <c r="M35" s="229"/>
      <c r="N35" s="229"/>
      <c r="O35" s="214" t="str">
        <f aca="false">IF(AA35="Cf.","Cf.","")</f>
        <v/>
      </c>
      <c r="P35" s="214" t="str">
        <f aca="false">IF($A35="NEWCOD",IF($AC35="","No",$AC35),IF(ISTEXT($E35),"DEJA SAISI !",IF($A35="","",IF(ISERROR(VLOOKUP($A35,'[1]liste reference'!A$1:S$1048576,19,FALSE())),IF(ISERROR(VLOOKUP($A35,'[1]liste reference'!B$1:S$1048576,19,FALSE())),"",VLOOKUP($A35,'[1]liste reference'!B$1:S$1048576,19,FALSE())),VLOOKUP($A35,'[1]liste reference'!A$1:S$1048576,19,FALSE())))))</f>
        <v/>
      </c>
      <c r="Q35" s="215" t="str">
        <f aca="false">IF(ISTEXT(H35),"",(B35*$B$7/100)+(C35*$C$7/100))</f>
        <v/>
      </c>
      <c r="R35" s="216" t="str">
        <f aca="false">IF(OR(ISTEXT(H35),Q35=0),"",IF(Q35&lt;0.1,1,IF(Q35&lt;1,2,IF(Q35&lt;10,3,IF(Q35&lt;50,4,IF(Q35&gt;=50,5,""))))))</f>
        <v/>
      </c>
      <c r="S35" s="216" t="n">
        <f aca="false">IF(ISERROR(R35*I35),0,R35*I35)</f>
        <v>0</v>
      </c>
      <c r="T35" s="216" t="n">
        <f aca="false">IF(ISERROR(R35*I35*J35),0,R35*I35*J35)</f>
        <v>0</v>
      </c>
      <c r="U35" s="230" t="n">
        <f aca="false">IF(ISERROR(R35*J35),0,R35*J35)</f>
        <v>0</v>
      </c>
      <c r="V35" s="217" t="n">
        <v>0</v>
      </c>
      <c r="W35" s="218"/>
      <c r="Y35" s="219" t="str">
        <f aca="false">IF(A35="new.cod","NEWCOD",IF(AND((Z35=""),ISTEXT(A35)),A35,IF(Z35="","",INDEX('[1]liste reference'!$A$7:$A$892,Z35))))</f>
        <v/>
      </c>
      <c r="Z35" s="10" t="str">
        <f aca="false">IF(ISERROR(MATCH(A35,'[1]liste reference'!$A$7:$A$892,0)),IF(ISERROR(MATCH(A35,'[1]liste reference'!$B$7:$B$892,0)),"",(MATCH(A35,'[1]liste reference'!$B$7:$B$892,0))),(MATCH(A35,'[1]liste reference'!$A$7:$A$892,0)))</f>
        <v/>
      </c>
      <c r="AA35" s="220"/>
      <c r="AB35" s="221"/>
      <c r="AC35" s="221"/>
      <c r="BC35" s="10" t="str">
        <f aca="false">IF(A35="","",1)</f>
        <v/>
      </c>
    </row>
    <row r="36" customFormat="false" ht="12.75" hidden="false" customHeight="false" outlineLevel="0" collapsed="false">
      <c r="A36" s="222"/>
      <c r="B36" s="223"/>
      <c r="C36" s="224"/>
      <c r="D36" s="225" t="str">
        <f aca="false">IF(ISERROR(VLOOKUP($A36,'[1]liste reference'!$A$7:$D$892,2,0)),IF(ISERROR(VLOOKUP($A36,'[1]liste reference'!$B$7:$D$892,1,0)),"",VLOOKUP($A36,'[1]liste reference'!$B$7:$D$892,1,0)),VLOOKUP($A36,'[1]liste reference'!$A$7:$D$892,2,0))</f>
        <v/>
      </c>
      <c r="E36" s="225" t="n">
        <f aca="false">IF(D36="",0,VLOOKUP(D36,D$22:D35,1,0))</f>
        <v>0</v>
      </c>
      <c r="F36" s="232" t="n">
        <f aca="false">($B36*$B$7+$C36*$C$7)/100</f>
        <v>0</v>
      </c>
      <c r="G36" s="227" t="str">
        <f aca="false">IF(A36="","",IF(ISERROR(VLOOKUP($A36,'[1]liste reference'!$A$7:$P$892,13,0)),IF(ISERROR(VLOOKUP($A36,'[1]liste reference'!$B$7:$P$892,12,0)),"    -",VLOOKUP($A36,'[1]liste reference'!$B$7:$P$892,12,0)),VLOOKUP($A36,'[1]liste reference'!$A$7:$P$892,13,0)))</f>
        <v/>
      </c>
      <c r="H36" s="209" t="str">
        <f aca="false">IF(A36="","x",IF(ISERROR(VLOOKUP($A36,'[1]liste reference'!$A$7:$P$892,14,0)),IF(ISERROR(VLOOKUP($A36,'[1]liste reference'!$B$7:$P$892,13,0)),"x",VLOOKUP($A36,'[1]liste reference'!$B$7:$P$892,13,0)),VLOOKUP($A36,'[1]liste reference'!$A$7:$P$892,14,0)))</f>
        <v>x</v>
      </c>
      <c r="I36" s="228" t="str">
        <f aca="false">IF(ISNUMBER(H36),IF(ISERROR(VLOOKUP($A36,'[1]liste reference'!$A$7:$P$892,3,0)),IF(ISERROR(VLOOKUP($A36,'[1]liste reference'!$B$7:$P$892,2,0)),"",VLOOKUP($A36,'[1]liste reference'!$B$7:$P$892,2,0)),VLOOKUP($A36,'[1]liste reference'!$A$7:$P$892,3,0)),"")</f>
        <v/>
      </c>
      <c r="J36" s="211" t="str">
        <f aca="false">IF(ISNUMBER(H36),IF(ISERROR(VLOOKUP($A36,'[1]liste reference'!$A$7:$P$892,4,0)),IF(ISERROR(VLOOKUP($A36,'[1]liste reference'!$B$7:$P$892,3,0)),"",VLOOKUP($A36,'[1]liste reference'!$B$7:$P$892,3,0)),VLOOKUP($A36,'[1]liste reference'!$A$7:$P$892,4,0)),"")</f>
        <v/>
      </c>
      <c r="K36" s="212" t="str">
        <f aca="false">IF(A36="NEWCOD",IF(AB36="","Remplir le champs 'Nouveau taxa' svp.",$AB36),IF(ISTEXT($E36),"DEJA SAISI !",IF(A36="","",IF(ISERROR(VLOOKUP($A36,'[1]liste reference'!$A$7:$D$892,2,0)),IF(ISERROR(VLOOKUP($A36,'[1]liste reference'!$B$7:$D$892,1,0)),"code non répertorié ou synonyme",VLOOKUP($A36,'[1]liste reference'!$B$7:$D$892,1,0)),VLOOKUP(A36,'[1]liste reference'!$A$7:$D$892,2,0)))))</f>
        <v/>
      </c>
      <c r="L36" s="229"/>
      <c r="M36" s="229"/>
      <c r="N36" s="229"/>
      <c r="O36" s="214" t="str">
        <f aca="false">IF(AA36="Cf.","Cf.","")</f>
        <v/>
      </c>
      <c r="P36" s="214" t="str">
        <f aca="false">IF($A36="NEWCOD",IF($AC36="","No",$AC36),IF(ISTEXT($E36),"DEJA SAISI !",IF($A36="","",IF(ISERROR(VLOOKUP($A36,'[1]liste reference'!A$1:S$1048576,19,FALSE())),IF(ISERROR(VLOOKUP($A36,'[1]liste reference'!B$1:S$1048576,19,FALSE())),"",VLOOKUP($A36,'[1]liste reference'!B$1:S$1048576,19,FALSE())),VLOOKUP($A36,'[1]liste reference'!A$1:S$1048576,19,FALSE())))))</f>
        <v/>
      </c>
      <c r="Q36" s="215" t="str">
        <f aca="false">IF(ISTEXT(H36),"",(B36*$B$7/100)+(C36*$C$7/100))</f>
        <v/>
      </c>
      <c r="R36" s="216" t="str">
        <f aca="false">IF(OR(ISTEXT(H36),Q36=0),"",IF(Q36&lt;0.1,1,IF(Q36&lt;1,2,IF(Q36&lt;10,3,IF(Q36&lt;50,4,IF(Q36&gt;=50,5,""))))))</f>
        <v/>
      </c>
      <c r="S36" s="216" t="n">
        <f aca="false">IF(ISERROR(R36*I36),0,R36*I36)</f>
        <v>0</v>
      </c>
      <c r="T36" s="216" t="n">
        <f aca="false">IF(ISERROR(R36*I36*J36),0,R36*I36*J36)</f>
        <v>0</v>
      </c>
      <c r="U36" s="230" t="n">
        <f aca="false">IF(ISERROR(R36*J36),0,R36*J36)</f>
        <v>0</v>
      </c>
      <c r="V36" s="217" t="n">
        <v>0</v>
      </c>
      <c r="W36" s="218"/>
      <c r="Y36" s="219" t="str">
        <f aca="false">IF(A36="new.cod","NEWCOD",IF(AND((Z36=""),ISTEXT(A36)),A36,IF(Z36="","",INDEX('[1]liste reference'!$A$7:$A$892,Z36))))</f>
        <v/>
      </c>
      <c r="Z36" s="10" t="str">
        <f aca="false">IF(ISERROR(MATCH(A36,'[1]liste reference'!$A$7:$A$892,0)),IF(ISERROR(MATCH(A36,'[1]liste reference'!$B$7:$B$892,0)),"",(MATCH(A36,'[1]liste reference'!$B$7:$B$892,0))),(MATCH(A36,'[1]liste reference'!$A$7:$A$892,0)))</f>
        <v/>
      </c>
      <c r="AA36" s="220"/>
      <c r="AB36" s="221"/>
      <c r="AC36" s="221"/>
      <c r="BC36" s="10" t="str">
        <f aca="false">IF(A36="","",1)</f>
        <v/>
      </c>
    </row>
    <row r="37" customFormat="false" ht="12.75" hidden="false" customHeight="false" outlineLevel="0" collapsed="false">
      <c r="A37" s="222"/>
      <c r="B37" s="223"/>
      <c r="C37" s="224"/>
      <c r="D37" s="225" t="str">
        <f aca="false">IF(ISERROR(VLOOKUP($A37,'[1]liste reference'!$A$7:$D$892,2,0)),IF(ISERROR(VLOOKUP($A37,'[1]liste reference'!$B$7:$D$892,1,0)),"",VLOOKUP($A37,'[1]liste reference'!$B$7:$D$892,1,0)),VLOOKUP($A37,'[1]liste reference'!$A$7:$D$892,2,0))</f>
        <v/>
      </c>
      <c r="E37" s="225" t="n">
        <f aca="false">IF(D37="",0,VLOOKUP(D37,D$22:D36,1,0))</f>
        <v>0</v>
      </c>
      <c r="F37" s="232" t="n">
        <f aca="false">($B37*$B$7+$C37*$C$7)/100</f>
        <v>0</v>
      </c>
      <c r="G37" s="227" t="str">
        <f aca="false">IF(A37="","",IF(ISERROR(VLOOKUP($A37,'[1]liste reference'!$A$7:$P$892,13,0)),IF(ISERROR(VLOOKUP($A37,'[1]liste reference'!$B$7:$P$892,12,0)),"    -",VLOOKUP($A37,'[1]liste reference'!$B$7:$P$892,12,0)),VLOOKUP($A37,'[1]liste reference'!$A$7:$P$892,13,0)))</f>
        <v/>
      </c>
      <c r="H37" s="209" t="str">
        <f aca="false">IF(A37="","x",IF(ISERROR(VLOOKUP($A37,'[1]liste reference'!$A$7:$P$892,14,0)),IF(ISERROR(VLOOKUP($A37,'[1]liste reference'!$B$7:$P$892,13,0)),"x",VLOOKUP($A37,'[1]liste reference'!$B$7:$P$892,13,0)),VLOOKUP($A37,'[1]liste reference'!$A$7:$P$892,14,0)))</f>
        <v>x</v>
      </c>
      <c r="I37" s="228" t="str">
        <f aca="false">IF(ISNUMBER(H37),IF(ISERROR(VLOOKUP($A37,'[1]liste reference'!$A$7:$P$892,3,0)),IF(ISERROR(VLOOKUP($A37,'[1]liste reference'!$B$7:$P$892,2,0)),"",VLOOKUP($A37,'[1]liste reference'!$B$7:$P$892,2,0)),VLOOKUP($A37,'[1]liste reference'!$A$7:$P$892,3,0)),"")</f>
        <v/>
      </c>
      <c r="J37" s="211" t="str">
        <f aca="false">IF(ISNUMBER(H37),IF(ISERROR(VLOOKUP($A37,'[1]liste reference'!$A$7:$P$892,4,0)),IF(ISERROR(VLOOKUP($A37,'[1]liste reference'!$B$7:$P$892,3,0)),"",VLOOKUP($A37,'[1]liste reference'!$B$7:$P$892,3,0)),VLOOKUP($A37,'[1]liste reference'!$A$7:$P$892,4,0)),"")</f>
        <v/>
      </c>
      <c r="K37" s="212" t="str">
        <f aca="false">IF(A37="NEWCOD",IF(AB37="","Remplir le champs 'Nouveau taxa' svp.",$AB37),IF(ISTEXT($E37),"DEJA SAISI !",IF(A37="","",IF(ISERROR(VLOOKUP($A37,'[1]liste reference'!$A$7:$D$892,2,0)),IF(ISERROR(VLOOKUP($A37,'[1]liste reference'!$B$7:$D$892,1,0)),"code non répertorié ou synonyme",VLOOKUP($A37,'[1]liste reference'!$B$7:$D$892,1,0)),VLOOKUP(A37,'[1]liste reference'!$A$7:$D$892,2,0)))))</f>
        <v/>
      </c>
      <c r="L37" s="229"/>
      <c r="M37" s="229"/>
      <c r="N37" s="229"/>
      <c r="O37" s="214" t="str">
        <f aca="false">IF(AA37="Cf.","Cf.","")</f>
        <v/>
      </c>
      <c r="P37" s="214" t="str">
        <f aca="false">IF($A37="NEWCOD",IF($AC37="","No",$AC37),IF(ISTEXT($E37),"DEJA SAISI !",IF($A37="","",IF(ISERROR(VLOOKUP($A37,'[1]liste reference'!A$1:S$1048576,19,FALSE())),IF(ISERROR(VLOOKUP($A37,'[1]liste reference'!B$1:S$1048576,19,FALSE())),"",VLOOKUP($A37,'[1]liste reference'!B$1:S$1048576,19,FALSE())),VLOOKUP($A37,'[1]liste reference'!A$1:S$1048576,19,FALSE())))))</f>
        <v/>
      </c>
      <c r="Q37" s="215" t="str">
        <f aca="false">IF(ISTEXT(H37),"",(B37*$B$7/100)+(C37*$C$7/100))</f>
        <v/>
      </c>
      <c r="R37" s="216" t="str">
        <f aca="false">IF(OR(ISTEXT(H37),Q37=0),"",IF(Q37&lt;0.1,1,IF(Q37&lt;1,2,IF(Q37&lt;10,3,IF(Q37&lt;50,4,IF(Q37&gt;=50,5,""))))))</f>
        <v/>
      </c>
      <c r="S37" s="216" t="n">
        <f aca="false">IF(ISERROR(R37*I37),0,R37*I37)</f>
        <v>0</v>
      </c>
      <c r="T37" s="216" t="n">
        <f aca="false">IF(ISERROR(R37*I37*J37),0,R37*I37*J37)</f>
        <v>0</v>
      </c>
      <c r="U37" s="230" t="n">
        <f aca="false">IF(ISERROR(R37*J37),0,R37*J37)</f>
        <v>0</v>
      </c>
      <c r="V37" s="217" t="n">
        <v>0</v>
      </c>
      <c r="W37" s="218"/>
      <c r="Y37" s="219" t="str">
        <f aca="false">IF(A37="new.cod","NEWCOD",IF(AND((Z37=""),ISTEXT(A37)),A37,IF(Z37="","",INDEX('[1]liste reference'!$A$7:$A$892,Z37))))</f>
        <v/>
      </c>
      <c r="Z37" s="10" t="str">
        <f aca="false">IF(ISERROR(MATCH(A37,'[1]liste reference'!$A$7:$A$892,0)),IF(ISERROR(MATCH(A37,'[1]liste reference'!$B$7:$B$892,0)),"",(MATCH(A37,'[1]liste reference'!$B$7:$B$892,0))),(MATCH(A37,'[1]liste reference'!$A$7:$A$892,0)))</f>
        <v/>
      </c>
      <c r="AA37" s="220"/>
      <c r="AB37" s="221"/>
      <c r="AC37" s="221"/>
      <c r="BC37" s="10" t="str">
        <f aca="false">IF(A37="","",1)</f>
        <v/>
      </c>
    </row>
    <row r="38" customFormat="false" ht="12.75" hidden="false" customHeight="false" outlineLevel="0" collapsed="false">
      <c r="A38" s="222"/>
      <c r="B38" s="223"/>
      <c r="C38" s="224"/>
      <c r="D38" s="225" t="str">
        <f aca="false">IF(ISERROR(VLOOKUP($A38,'[1]liste reference'!$A$7:$D$892,2,0)),IF(ISERROR(VLOOKUP($A38,'[1]liste reference'!$B$7:$D$892,1,0)),"",VLOOKUP($A38,'[1]liste reference'!$B$7:$D$892,1,0)),VLOOKUP($A38,'[1]liste reference'!$A$7:$D$892,2,0))</f>
        <v/>
      </c>
      <c r="E38" s="225" t="n">
        <f aca="false">IF(D38="",0,VLOOKUP(D38,D$22:D37,1,0))</f>
        <v>0</v>
      </c>
      <c r="F38" s="232" t="n">
        <f aca="false">($B38*$B$7+$C38*$C$7)/100</f>
        <v>0</v>
      </c>
      <c r="G38" s="227" t="str">
        <f aca="false">IF(A38="","",IF(ISERROR(VLOOKUP($A38,'[1]liste reference'!$A$7:$P$892,13,0)),IF(ISERROR(VLOOKUP($A38,'[1]liste reference'!$B$7:$P$892,12,0)),"    -",VLOOKUP($A38,'[1]liste reference'!$B$7:$P$892,12,0)),VLOOKUP($A38,'[1]liste reference'!$A$7:$P$892,13,0)))</f>
        <v/>
      </c>
      <c r="H38" s="209" t="str">
        <f aca="false">IF(A38="","x",IF(ISERROR(VLOOKUP($A38,'[1]liste reference'!$A$7:$P$892,14,0)),IF(ISERROR(VLOOKUP($A38,'[1]liste reference'!$B$7:$P$892,13,0)),"x",VLOOKUP($A38,'[1]liste reference'!$B$7:$P$892,13,0)),VLOOKUP($A38,'[1]liste reference'!$A$7:$P$892,14,0)))</f>
        <v>x</v>
      </c>
      <c r="I38" s="228" t="str">
        <f aca="false">IF(ISNUMBER(H38),IF(ISERROR(VLOOKUP($A38,'[1]liste reference'!$A$7:$P$892,3,0)),IF(ISERROR(VLOOKUP($A38,'[1]liste reference'!$B$7:$P$892,2,0)),"",VLOOKUP($A38,'[1]liste reference'!$B$7:$P$892,2,0)),VLOOKUP($A38,'[1]liste reference'!$A$7:$P$892,3,0)),"")</f>
        <v/>
      </c>
      <c r="J38" s="211" t="str">
        <f aca="false">IF(ISNUMBER(H38),IF(ISERROR(VLOOKUP($A38,'[1]liste reference'!$A$7:$P$892,4,0)),IF(ISERROR(VLOOKUP($A38,'[1]liste reference'!$B$7:$P$892,3,0)),"",VLOOKUP($A38,'[1]liste reference'!$B$7:$P$892,3,0)),VLOOKUP($A38,'[1]liste reference'!$A$7:$P$892,4,0)),"")</f>
        <v/>
      </c>
      <c r="K38" s="212" t="str">
        <f aca="false">IF(A38="NEWCOD",IF(AB38="","Remplir le champs 'Nouveau taxa' svp.",$AB38),IF(ISTEXT($E38),"DEJA SAISI !",IF(A38="","",IF(ISERROR(VLOOKUP($A38,'[1]liste reference'!$A$7:$D$892,2,0)),IF(ISERROR(VLOOKUP($A38,'[1]liste reference'!$B$7:$D$892,1,0)),"code non répertorié ou synonyme",VLOOKUP($A38,'[1]liste reference'!$B$7:$D$892,1,0)),VLOOKUP(A38,'[1]liste reference'!$A$7:$D$892,2,0)))))</f>
        <v/>
      </c>
      <c r="L38" s="229"/>
      <c r="M38" s="229"/>
      <c r="N38" s="229"/>
      <c r="O38" s="214" t="str">
        <f aca="false">IF(AA38="Cf.","Cf.","")</f>
        <v/>
      </c>
      <c r="P38" s="214" t="str">
        <f aca="false">IF($A38="NEWCOD",IF($AC38="","No",$AC38),IF(ISTEXT($E38),"DEJA SAISI !",IF($A38="","",IF(ISERROR(VLOOKUP($A38,'[1]liste reference'!A$1:S$1048576,19,FALSE())),IF(ISERROR(VLOOKUP($A38,'[1]liste reference'!B$1:S$1048576,19,FALSE())),"",VLOOKUP($A38,'[1]liste reference'!B$1:S$1048576,19,FALSE())),VLOOKUP($A38,'[1]liste reference'!A$1:S$1048576,19,FALSE())))))</f>
        <v/>
      </c>
      <c r="Q38" s="215" t="str">
        <f aca="false">IF(ISTEXT(H38),"",(B38*$B$7/100)+(C38*$C$7/100))</f>
        <v/>
      </c>
      <c r="R38" s="216" t="str">
        <f aca="false">IF(OR(ISTEXT(H38),Q38=0),"",IF(Q38&lt;0.1,1,IF(Q38&lt;1,2,IF(Q38&lt;10,3,IF(Q38&lt;50,4,IF(Q38&gt;=50,5,""))))))</f>
        <v/>
      </c>
      <c r="S38" s="216" t="n">
        <f aca="false">IF(ISERROR(R38*I38),0,R38*I38)</f>
        <v>0</v>
      </c>
      <c r="T38" s="216" t="n">
        <f aca="false">IF(ISERROR(R38*I38*J38),0,R38*I38*J38)</f>
        <v>0</v>
      </c>
      <c r="U38" s="230" t="n">
        <f aca="false">IF(ISERROR(R38*J38),0,R38*J38)</f>
        <v>0</v>
      </c>
      <c r="V38" s="217" t="n">
        <v>0</v>
      </c>
      <c r="W38" s="218"/>
      <c r="Y38" s="219" t="str">
        <f aca="false">IF(A38="new.cod","NEWCOD",IF(AND((Z38=""),ISTEXT(A38)),A38,IF(Z38="","",INDEX('[1]liste reference'!$A$7:$A$892,Z38))))</f>
        <v/>
      </c>
      <c r="Z38" s="10" t="str">
        <f aca="false">IF(ISERROR(MATCH(A38,'[1]liste reference'!$A$7:$A$892,0)),IF(ISERROR(MATCH(A38,'[1]liste reference'!$B$7:$B$892,0)),"",(MATCH(A38,'[1]liste reference'!$B$7:$B$892,0))),(MATCH(A38,'[1]liste reference'!$A$7:$A$892,0)))</f>
        <v/>
      </c>
      <c r="AA38" s="220"/>
      <c r="AB38" s="221"/>
      <c r="AC38" s="221"/>
      <c r="BC38" s="10" t="str">
        <f aca="false">IF(A38="","",1)</f>
        <v/>
      </c>
    </row>
    <row r="39" customFormat="false" ht="12.75" hidden="false" customHeight="false" outlineLevel="0" collapsed="false">
      <c r="A39" s="222"/>
      <c r="B39" s="223"/>
      <c r="C39" s="224"/>
      <c r="D39" s="225" t="str">
        <f aca="false">IF(ISERROR(VLOOKUP($A39,'[1]liste reference'!$A$7:$D$892,2,0)),IF(ISERROR(VLOOKUP($A39,'[1]liste reference'!$B$7:$D$892,1,0)),"",VLOOKUP($A39,'[1]liste reference'!$B$7:$D$892,1,0)),VLOOKUP($A39,'[1]liste reference'!$A$7:$D$892,2,0))</f>
        <v/>
      </c>
      <c r="E39" s="225" t="n">
        <f aca="false">IF(D39="",0,VLOOKUP(D39,D$22:D38,1,0))</f>
        <v>0</v>
      </c>
      <c r="F39" s="232" t="n">
        <f aca="false">($B39*$B$7+$C39*$C$7)/100</f>
        <v>0</v>
      </c>
      <c r="G39" s="227" t="str">
        <f aca="false">IF(A39="","",IF(ISERROR(VLOOKUP($A39,'[1]liste reference'!$A$7:$P$892,13,0)),IF(ISERROR(VLOOKUP($A39,'[1]liste reference'!$B$7:$P$892,12,0)),"    -",VLOOKUP($A39,'[1]liste reference'!$B$7:$P$892,12,0)),VLOOKUP($A39,'[1]liste reference'!$A$7:$P$892,13,0)))</f>
        <v/>
      </c>
      <c r="H39" s="209" t="str">
        <f aca="false">IF(A39="","x",IF(ISERROR(VLOOKUP($A39,'[1]liste reference'!$A$7:$P$892,14,0)),IF(ISERROR(VLOOKUP($A39,'[1]liste reference'!$B$7:$P$892,13,0)),"x",VLOOKUP($A39,'[1]liste reference'!$B$7:$P$892,13,0)),VLOOKUP($A39,'[1]liste reference'!$A$7:$P$892,14,0)))</f>
        <v>x</v>
      </c>
      <c r="I39" s="228" t="str">
        <f aca="false">IF(ISNUMBER(H39),IF(ISERROR(VLOOKUP($A39,'[1]liste reference'!$A$7:$P$892,3,0)),IF(ISERROR(VLOOKUP($A39,'[1]liste reference'!$B$7:$P$892,2,0)),"",VLOOKUP($A39,'[1]liste reference'!$B$7:$P$892,2,0)),VLOOKUP($A39,'[1]liste reference'!$A$7:$P$892,3,0)),"")</f>
        <v/>
      </c>
      <c r="J39" s="211" t="str">
        <f aca="false">IF(ISNUMBER(H39),IF(ISERROR(VLOOKUP($A39,'[1]liste reference'!$A$7:$P$892,4,0)),IF(ISERROR(VLOOKUP($A39,'[1]liste reference'!$B$7:$P$892,3,0)),"",VLOOKUP($A39,'[1]liste reference'!$B$7:$P$892,3,0)),VLOOKUP($A39,'[1]liste reference'!$A$7:$P$892,4,0)),"")</f>
        <v/>
      </c>
      <c r="K39" s="212" t="str">
        <f aca="false">IF(A39="NEWCOD",IF(AB39="","Remplir le champs 'Nouveau taxa' svp.",$AB39),IF(ISTEXT($E39),"DEJA SAISI !",IF(A39="","",IF(ISERROR(VLOOKUP($A39,'[1]liste reference'!$A$7:$D$892,2,0)),IF(ISERROR(VLOOKUP($A39,'[1]liste reference'!$B$7:$D$892,1,0)),"code non répertorié ou synonyme",VLOOKUP($A39,'[1]liste reference'!$B$7:$D$892,1,0)),VLOOKUP(A39,'[1]liste reference'!$A$7:$D$892,2,0)))))</f>
        <v/>
      </c>
      <c r="L39" s="229"/>
      <c r="M39" s="229"/>
      <c r="N39" s="229"/>
      <c r="O39" s="214" t="str">
        <f aca="false">IF(AA39="Cf.","Cf.","")</f>
        <v/>
      </c>
      <c r="P39" s="214" t="str">
        <f aca="false">IF($A39="NEWCOD",IF($AC39="","No",$AC39),IF(ISTEXT($E39),"DEJA SAISI !",IF($A39="","",IF(ISERROR(VLOOKUP($A39,'[1]liste reference'!A$1:S$1048576,19,FALSE())),IF(ISERROR(VLOOKUP($A39,'[1]liste reference'!B$1:S$1048576,19,FALSE())),"",VLOOKUP($A39,'[1]liste reference'!B$1:S$1048576,19,FALSE())),VLOOKUP($A39,'[1]liste reference'!A$1:S$1048576,19,FALSE())))))</f>
        <v/>
      </c>
      <c r="Q39" s="215" t="str">
        <f aca="false">IF(ISTEXT(H39),"",(B39*$B$7/100)+(C39*$C$7/100))</f>
        <v/>
      </c>
      <c r="R39" s="216" t="str">
        <f aca="false">IF(OR(ISTEXT(H39),Q39=0),"",IF(Q39&lt;0.1,1,IF(Q39&lt;1,2,IF(Q39&lt;10,3,IF(Q39&lt;50,4,IF(Q39&gt;=50,5,""))))))</f>
        <v/>
      </c>
      <c r="S39" s="216" t="n">
        <f aca="false">IF(ISERROR(R39*I39),0,R39*I39)</f>
        <v>0</v>
      </c>
      <c r="T39" s="216" t="n">
        <f aca="false">IF(ISERROR(R39*I39*J39),0,R39*I39*J39)</f>
        <v>0</v>
      </c>
      <c r="U39" s="230" t="n">
        <f aca="false">IF(ISERROR(R39*J39),0,R39*J39)</f>
        <v>0</v>
      </c>
      <c r="V39" s="217" t="n">
        <v>0</v>
      </c>
      <c r="W39" s="218"/>
      <c r="Y39" s="219" t="str">
        <f aca="false">IF(A39="new.cod","NEWCOD",IF(AND((Z39=""),ISTEXT(A39)),A39,IF(Z39="","",INDEX('[1]liste reference'!$A$7:$A$892,Z39))))</f>
        <v/>
      </c>
      <c r="Z39" s="10" t="str">
        <f aca="false">IF(ISERROR(MATCH(A39,'[1]liste reference'!$A$7:$A$892,0)),IF(ISERROR(MATCH(A39,'[1]liste reference'!$B$7:$B$892,0)),"",(MATCH(A39,'[1]liste reference'!$B$7:$B$892,0))),(MATCH(A39,'[1]liste reference'!$A$7:$A$892,0)))</f>
        <v/>
      </c>
      <c r="AA39" s="220"/>
      <c r="AB39" s="221"/>
      <c r="AC39" s="221"/>
      <c r="BC39" s="10" t="str">
        <f aca="false">IF(A39="","",1)</f>
        <v/>
      </c>
    </row>
    <row r="40" customFormat="false" ht="12.75" hidden="false" customHeight="false" outlineLevel="0" collapsed="false">
      <c r="A40" s="222"/>
      <c r="B40" s="223"/>
      <c r="C40" s="224"/>
      <c r="D40" s="225" t="str">
        <f aca="false">IF(ISERROR(VLOOKUP($A40,'[1]liste reference'!$A$7:$D$892,2,0)),IF(ISERROR(VLOOKUP($A40,'[1]liste reference'!$B$7:$D$892,1,0)),"",VLOOKUP($A40,'[1]liste reference'!$B$7:$D$892,1,0)),VLOOKUP($A40,'[1]liste reference'!$A$7:$D$892,2,0))</f>
        <v/>
      </c>
      <c r="E40" s="225" t="n">
        <f aca="false">IF(D40="",0,VLOOKUP(D40,D$22:D39,1,0))</f>
        <v>0</v>
      </c>
      <c r="F40" s="232" t="n">
        <f aca="false">($B40*$B$7+$C40*$C$7)/100</f>
        <v>0</v>
      </c>
      <c r="G40" s="227" t="str">
        <f aca="false">IF(A40="","",IF(ISERROR(VLOOKUP($A40,'[1]liste reference'!$A$7:$P$892,13,0)),IF(ISERROR(VLOOKUP($A40,'[1]liste reference'!$B$7:$P$892,12,0)),"    -",VLOOKUP($A40,'[1]liste reference'!$B$7:$P$892,12,0)),VLOOKUP($A40,'[1]liste reference'!$A$7:$P$892,13,0)))</f>
        <v/>
      </c>
      <c r="H40" s="209" t="str">
        <f aca="false">IF(A40="","x",IF(ISERROR(VLOOKUP($A40,'[1]liste reference'!$A$7:$P$892,14,0)),IF(ISERROR(VLOOKUP($A40,'[1]liste reference'!$B$7:$P$892,13,0)),"x",VLOOKUP($A40,'[1]liste reference'!$B$7:$P$892,13,0)),VLOOKUP($A40,'[1]liste reference'!$A$7:$P$892,14,0)))</f>
        <v>x</v>
      </c>
      <c r="I40" s="228" t="str">
        <f aca="false">IF(ISNUMBER(H40),IF(ISERROR(VLOOKUP($A40,'[1]liste reference'!$A$7:$P$892,3,0)),IF(ISERROR(VLOOKUP($A40,'[1]liste reference'!$B$7:$P$892,2,0)),"",VLOOKUP($A40,'[1]liste reference'!$B$7:$P$892,2,0)),VLOOKUP($A40,'[1]liste reference'!$A$7:$P$892,3,0)),"")</f>
        <v/>
      </c>
      <c r="J40" s="211" t="str">
        <f aca="false">IF(ISNUMBER(H40),IF(ISERROR(VLOOKUP($A40,'[1]liste reference'!$A$7:$P$892,4,0)),IF(ISERROR(VLOOKUP($A40,'[1]liste reference'!$B$7:$P$892,3,0)),"",VLOOKUP($A40,'[1]liste reference'!$B$7:$P$892,3,0)),VLOOKUP($A40,'[1]liste reference'!$A$7:$P$892,4,0)),"")</f>
        <v/>
      </c>
      <c r="K40" s="212" t="str">
        <f aca="false">IF(A40="NEWCOD",IF(AB40="","Remplir le champs 'Nouveau taxa' svp.",$AB40),IF(ISTEXT($E40),"DEJA SAISI !",IF(A40="","",IF(ISERROR(VLOOKUP($A40,'[1]liste reference'!$A$7:$D$892,2,0)),IF(ISERROR(VLOOKUP($A40,'[1]liste reference'!$B$7:$D$892,1,0)),"code non répertorié ou synonyme",VLOOKUP($A40,'[1]liste reference'!$B$7:$D$892,1,0)),VLOOKUP(A40,'[1]liste reference'!$A$7:$D$892,2,0)))))</f>
        <v/>
      </c>
      <c r="L40" s="229"/>
      <c r="M40" s="229"/>
      <c r="N40" s="229"/>
      <c r="O40" s="214" t="str">
        <f aca="false">IF(AA40="Cf.","Cf.","")</f>
        <v/>
      </c>
      <c r="P40" s="214" t="str">
        <f aca="false">IF($A40="NEWCOD",IF($AC40="","No",$AC40),IF(ISTEXT($E40),"DEJA SAISI !",IF($A40="","",IF(ISERROR(VLOOKUP($A40,'[1]liste reference'!A$1:S$1048576,19,FALSE())),IF(ISERROR(VLOOKUP($A40,'[1]liste reference'!B$1:S$1048576,19,FALSE())),"",VLOOKUP($A40,'[1]liste reference'!B$1:S$1048576,19,FALSE())),VLOOKUP($A40,'[1]liste reference'!A$1:S$1048576,19,FALSE())))))</f>
        <v/>
      </c>
      <c r="Q40" s="215" t="str">
        <f aca="false">IF(ISTEXT(H40),"",(B40*$B$7/100)+(C40*$C$7/100))</f>
        <v/>
      </c>
      <c r="R40" s="216" t="str">
        <f aca="false">IF(OR(ISTEXT(H40),Q40=0),"",IF(Q40&lt;0.1,1,IF(Q40&lt;1,2,IF(Q40&lt;10,3,IF(Q40&lt;50,4,IF(Q40&gt;=50,5,""))))))</f>
        <v/>
      </c>
      <c r="S40" s="216" t="n">
        <f aca="false">IF(ISERROR(R40*I40),0,R40*I40)</f>
        <v>0</v>
      </c>
      <c r="T40" s="216" t="n">
        <f aca="false">IF(ISERROR(R40*I40*J40),0,R40*I40*J40)</f>
        <v>0</v>
      </c>
      <c r="U40" s="230" t="n">
        <f aca="false">IF(ISERROR(R40*J40),0,R40*J40)</f>
        <v>0</v>
      </c>
      <c r="V40" s="217" t="n">
        <v>0</v>
      </c>
      <c r="W40" s="218"/>
      <c r="Y40" s="219" t="str">
        <f aca="false">IF(A40="new.cod","NEWCOD",IF(AND((Z40=""),ISTEXT(A40)),A40,IF(Z40="","",INDEX('[1]liste reference'!$A$7:$A$892,Z40))))</f>
        <v/>
      </c>
      <c r="Z40" s="10" t="str">
        <f aca="false">IF(ISERROR(MATCH(A40,'[1]liste reference'!$A$7:$A$892,0)),IF(ISERROR(MATCH(A40,'[1]liste reference'!$B$7:$B$892,0)),"",(MATCH(A40,'[1]liste reference'!$B$7:$B$892,0))),(MATCH(A40,'[1]liste reference'!$A$7:$A$892,0)))</f>
        <v/>
      </c>
      <c r="AA40" s="220"/>
      <c r="AB40" s="221"/>
      <c r="AC40" s="221"/>
      <c r="BC40" s="10" t="str">
        <f aca="false">IF(A40="","",1)</f>
        <v/>
      </c>
    </row>
    <row r="41" customFormat="false" ht="12.75" hidden="false" customHeight="false" outlineLevel="0" collapsed="false">
      <c r="A41" s="222"/>
      <c r="B41" s="223"/>
      <c r="C41" s="224"/>
      <c r="D41" s="225" t="str">
        <f aca="false">IF(ISERROR(VLOOKUP($A41,'[1]liste reference'!$A$7:$D$892,2,0)),IF(ISERROR(VLOOKUP($A41,'[1]liste reference'!$B$7:$D$892,1,0)),"",VLOOKUP($A41,'[1]liste reference'!$B$7:$D$892,1,0)),VLOOKUP($A41,'[1]liste reference'!$A$7:$D$892,2,0))</f>
        <v/>
      </c>
      <c r="E41" s="225" t="n">
        <f aca="false">IF(D41="",0,VLOOKUP(D41,D$22:D40,1,0))</f>
        <v>0</v>
      </c>
      <c r="F41" s="232" t="n">
        <f aca="false">($B41*$B$7+$C41*$C$7)/100</f>
        <v>0</v>
      </c>
      <c r="G41" s="227" t="str">
        <f aca="false">IF(A41="","",IF(ISERROR(VLOOKUP($A41,'[1]liste reference'!$A$7:$P$892,13,0)),IF(ISERROR(VLOOKUP($A41,'[1]liste reference'!$B$7:$P$892,12,0)),"    -",VLOOKUP($A41,'[1]liste reference'!$B$7:$P$892,12,0)),VLOOKUP($A41,'[1]liste reference'!$A$7:$P$892,13,0)))</f>
        <v/>
      </c>
      <c r="H41" s="209" t="str">
        <f aca="false">IF(A41="","x",IF(ISERROR(VLOOKUP($A41,'[1]liste reference'!$A$7:$P$892,14,0)),IF(ISERROR(VLOOKUP($A41,'[1]liste reference'!$B$7:$P$892,13,0)),"x",VLOOKUP($A41,'[1]liste reference'!$B$7:$P$892,13,0)),VLOOKUP($A41,'[1]liste reference'!$A$7:$P$892,14,0)))</f>
        <v>x</v>
      </c>
      <c r="I41" s="228" t="str">
        <f aca="false">IF(ISNUMBER(H41),IF(ISERROR(VLOOKUP($A41,'[1]liste reference'!$A$7:$P$892,3,0)),IF(ISERROR(VLOOKUP($A41,'[1]liste reference'!$B$7:$P$892,2,0)),"",VLOOKUP($A41,'[1]liste reference'!$B$7:$P$892,2,0)),VLOOKUP($A41,'[1]liste reference'!$A$7:$P$892,3,0)),"")</f>
        <v/>
      </c>
      <c r="J41" s="211" t="str">
        <f aca="false">IF(ISNUMBER(H41),IF(ISERROR(VLOOKUP($A41,'[1]liste reference'!$A$7:$P$892,4,0)),IF(ISERROR(VLOOKUP($A41,'[1]liste reference'!$B$7:$P$892,3,0)),"",VLOOKUP($A41,'[1]liste reference'!$B$7:$P$892,3,0)),VLOOKUP($A41,'[1]liste reference'!$A$7:$P$892,4,0)),"")</f>
        <v/>
      </c>
      <c r="K41" s="212" t="str">
        <f aca="false">IF(A41="NEWCOD",IF(AB41="","Remplir le champs 'Nouveau taxa' svp.",$AB41),IF(ISTEXT($E41),"DEJA SAISI !",IF(A41="","",IF(ISERROR(VLOOKUP($A41,'[1]liste reference'!$A$7:$D$892,2,0)),IF(ISERROR(VLOOKUP($A41,'[1]liste reference'!$B$7:$D$892,1,0)),"code non répertorié ou synonyme",VLOOKUP($A41,'[1]liste reference'!$B$7:$D$892,1,0)),VLOOKUP(A41,'[1]liste reference'!$A$7:$D$892,2,0)))))</f>
        <v/>
      </c>
      <c r="L41" s="229"/>
      <c r="M41" s="229"/>
      <c r="N41" s="229"/>
      <c r="O41" s="214" t="str">
        <f aca="false">IF(AA41="Cf.","Cf.","")</f>
        <v/>
      </c>
      <c r="P41" s="214" t="str">
        <f aca="false">IF($A41="NEWCOD",IF($AC41="","No",$AC41),IF(ISTEXT($E41),"DEJA SAISI !",IF($A41="","",IF(ISERROR(VLOOKUP($A41,'[1]liste reference'!A$1:S$1048576,19,FALSE())),IF(ISERROR(VLOOKUP($A41,'[1]liste reference'!B$1:S$1048576,19,FALSE())),"",VLOOKUP($A41,'[1]liste reference'!B$1:S$1048576,19,FALSE())),VLOOKUP($A41,'[1]liste reference'!A$1:S$1048576,19,FALSE())))))</f>
        <v/>
      </c>
      <c r="Q41" s="215" t="str">
        <f aca="false">IF(ISTEXT(H41),"",(B41*$B$7/100)+(C41*$C$7/100))</f>
        <v/>
      </c>
      <c r="R41" s="216" t="str">
        <f aca="false">IF(OR(ISTEXT(H41),Q41=0),"",IF(Q41&lt;0.1,1,IF(Q41&lt;1,2,IF(Q41&lt;10,3,IF(Q41&lt;50,4,IF(Q41&gt;=50,5,""))))))</f>
        <v/>
      </c>
      <c r="S41" s="216" t="n">
        <f aca="false">IF(ISERROR(R41*I41),0,R41*I41)</f>
        <v>0</v>
      </c>
      <c r="T41" s="216" t="n">
        <f aca="false">IF(ISERROR(R41*I41*J41),0,R41*I41*J41)</f>
        <v>0</v>
      </c>
      <c r="U41" s="230" t="n">
        <f aca="false">IF(ISERROR(R41*J41),0,R41*J41)</f>
        <v>0</v>
      </c>
      <c r="V41" s="217" t="n">
        <v>0</v>
      </c>
      <c r="W41" s="218"/>
      <c r="Y41" s="219" t="str">
        <f aca="false">IF(A41="new.cod","NEWCOD",IF(AND((Z41=""),ISTEXT(A41)),A41,IF(Z41="","",INDEX('[1]liste reference'!$A$7:$A$892,Z41))))</f>
        <v/>
      </c>
      <c r="Z41" s="10" t="str">
        <f aca="false">IF(ISERROR(MATCH(A41,'[1]liste reference'!$A$7:$A$892,0)),IF(ISERROR(MATCH(A41,'[1]liste reference'!$B$7:$B$892,0)),"",(MATCH(A41,'[1]liste reference'!$B$7:$B$892,0))),(MATCH(A41,'[1]liste reference'!$A$7:$A$892,0)))</f>
        <v/>
      </c>
      <c r="AA41" s="220"/>
      <c r="AB41" s="221"/>
      <c r="AC41" s="221"/>
      <c r="BC41" s="10" t="str">
        <f aca="false">IF(A41="","",1)</f>
        <v/>
      </c>
    </row>
    <row r="42" customFormat="false" ht="12.75" hidden="false" customHeight="false" outlineLevel="0" collapsed="false">
      <c r="A42" s="222"/>
      <c r="B42" s="223"/>
      <c r="C42" s="224"/>
      <c r="D42" s="225" t="str">
        <f aca="false">IF(ISERROR(VLOOKUP($A42,'[1]liste reference'!$A$7:$D$892,2,0)),IF(ISERROR(VLOOKUP($A42,'[1]liste reference'!$B$7:$D$892,1,0)),"",VLOOKUP($A42,'[1]liste reference'!$B$7:$D$892,1,0)),VLOOKUP($A42,'[1]liste reference'!$A$7:$D$892,2,0))</f>
        <v/>
      </c>
      <c r="E42" s="225" t="n">
        <f aca="false">IF(D42="",0,VLOOKUP(D42,D$22:D41,1,0))</f>
        <v>0</v>
      </c>
      <c r="F42" s="232" t="n">
        <f aca="false">($B42*$B$7+$C42*$C$7)/100</f>
        <v>0</v>
      </c>
      <c r="G42" s="227" t="str">
        <f aca="false">IF(A42="","",IF(ISERROR(VLOOKUP($A42,'[1]liste reference'!$A$7:$P$892,13,0)),IF(ISERROR(VLOOKUP($A42,'[1]liste reference'!$B$7:$P$892,12,0)),"    -",VLOOKUP($A42,'[1]liste reference'!$B$7:$P$892,12,0)),VLOOKUP($A42,'[1]liste reference'!$A$7:$P$892,13,0)))</f>
        <v/>
      </c>
      <c r="H42" s="209" t="str">
        <f aca="false">IF(A42="","x",IF(ISERROR(VLOOKUP($A42,'[1]liste reference'!$A$7:$P$892,14,0)),IF(ISERROR(VLOOKUP($A42,'[1]liste reference'!$B$7:$P$892,13,0)),"x",VLOOKUP($A42,'[1]liste reference'!$B$7:$P$892,13,0)),VLOOKUP($A42,'[1]liste reference'!$A$7:$P$892,14,0)))</f>
        <v>x</v>
      </c>
      <c r="I42" s="228" t="str">
        <f aca="false">IF(ISNUMBER(H42),IF(ISERROR(VLOOKUP($A42,'[1]liste reference'!$A$7:$P$892,3,0)),IF(ISERROR(VLOOKUP($A42,'[1]liste reference'!$B$7:$P$892,2,0)),"",VLOOKUP($A42,'[1]liste reference'!$B$7:$P$892,2,0)),VLOOKUP($A42,'[1]liste reference'!$A$7:$P$892,3,0)),"")</f>
        <v/>
      </c>
      <c r="J42" s="211" t="str">
        <f aca="false">IF(ISNUMBER(H42),IF(ISERROR(VLOOKUP($A42,'[1]liste reference'!$A$7:$P$892,4,0)),IF(ISERROR(VLOOKUP($A42,'[1]liste reference'!$B$7:$P$892,3,0)),"",VLOOKUP($A42,'[1]liste reference'!$B$7:$P$892,3,0)),VLOOKUP($A42,'[1]liste reference'!$A$7:$P$892,4,0)),"")</f>
        <v/>
      </c>
      <c r="K42" s="212" t="str">
        <f aca="false">IF(A42="NEWCOD",IF(AB42="","Remplir le champs 'Nouveau taxa' svp.",$AB42),IF(ISTEXT($E42),"DEJA SAISI !",IF(A42="","",IF(ISERROR(VLOOKUP($A42,'[1]liste reference'!$A$7:$D$892,2,0)),IF(ISERROR(VLOOKUP($A42,'[1]liste reference'!$B$7:$D$892,1,0)),"code non répertorié ou synonyme",VLOOKUP($A42,'[1]liste reference'!$B$7:$D$892,1,0)),VLOOKUP(A42,'[1]liste reference'!$A$7:$D$892,2,0)))))</f>
        <v/>
      </c>
      <c r="L42" s="229"/>
      <c r="M42" s="229"/>
      <c r="N42" s="229"/>
      <c r="O42" s="214" t="str">
        <f aca="false">IF(AA42="Cf.","Cf.","")</f>
        <v/>
      </c>
      <c r="P42" s="214" t="str">
        <f aca="false">IF($A42="NEWCOD",IF($AC42="","No",$AC42),IF(ISTEXT($E42),"DEJA SAISI !",IF($A42="","",IF(ISERROR(VLOOKUP($A42,'[1]liste reference'!A$1:S$1048576,19,FALSE())),IF(ISERROR(VLOOKUP($A42,'[1]liste reference'!B$1:S$1048576,19,FALSE())),"",VLOOKUP($A42,'[1]liste reference'!B$1:S$1048576,19,FALSE())),VLOOKUP($A42,'[1]liste reference'!A$1:S$1048576,19,FALSE())))))</f>
        <v/>
      </c>
      <c r="Q42" s="215" t="str">
        <f aca="false">IF(ISTEXT(H42),"",(B42*$B$7/100)+(C42*$C$7/100))</f>
        <v/>
      </c>
      <c r="R42" s="216" t="str">
        <f aca="false">IF(OR(ISTEXT(H42),Q42=0),"",IF(Q42&lt;0.1,1,IF(Q42&lt;1,2,IF(Q42&lt;10,3,IF(Q42&lt;50,4,IF(Q42&gt;=50,5,""))))))</f>
        <v/>
      </c>
      <c r="S42" s="216" t="n">
        <f aca="false">IF(ISERROR(R42*I42),0,R42*I42)</f>
        <v>0</v>
      </c>
      <c r="T42" s="216" t="n">
        <f aca="false">IF(ISERROR(R42*I42*J42),0,R42*I42*J42)</f>
        <v>0</v>
      </c>
      <c r="U42" s="230" t="n">
        <f aca="false">IF(ISERROR(R42*J42),0,R42*J42)</f>
        <v>0</v>
      </c>
      <c r="V42" s="217" t="n">
        <v>0</v>
      </c>
      <c r="W42" s="218"/>
      <c r="Y42" s="219" t="str">
        <f aca="false">IF(A42="new.cod","NEWCOD",IF(AND((Z42=""),ISTEXT(A42)),A42,IF(Z42="","",INDEX('[1]liste reference'!$A$7:$A$892,Z42))))</f>
        <v/>
      </c>
      <c r="Z42" s="10" t="str">
        <f aca="false">IF(ISERROR(MATCH(A42,'[1]liste reference'!$A$7:$A$892,0)),IF(ISERROR(MATCH(A42,'[1]liste reference'!$B$7:$B$892,0)),"",(MATCH(A42,'[1]liste reference'!$B$7:$B$892,0))),(MATCH(A42,'[1]liste reference'!$A$7:$A$892,0)))</f>
        <v/>
      </c>
      <c r="AA42" s="220"/>
      <c r="AB42" s="221"/>
      <c r="AC42" s="221"/>
      <c r="BC42" s="10" t="str">
        <f aca="false">IF(A42="","",1)</f>
        <v/>
      </c>
    </row>
    <row r="43" customFormat="false" ht="12.75" hidden="false" customHeight="false" outlineLevel="0" collapsed="false">
      <c r="A43" s="222"/>
      <c r="B43" s="223"/>
      <c r="C43" s="224"/>
      <c r="D43" s="225" t="str">
        <f aca="false">IF(ISERROR(VLOOKUP($A43,'[1]liste reference'!$A$7:$D$892,2,0)),IF(ISERROR(VLOOKUP($A43,'[1]liste reference'!$B$7:$D$892,1,0)),"",VLOOKUP($A43,'[1]liste reference'!$B$7:$D$892,1,0)),VLOOKUP($A43,'[1]liste reference'!$A$7:$D$892,2,0))</f>
        <v/>
      </c>
      <c r="E43" s="225" t="n">
        <f aca="false">IF(D43="",0,VLOOKUP(D43,D$22:D42,1,0))</f>
        <v>0</v>
      </c>
      <c r="F43" s="232" t="n">
        <f aca="false">($B43*$B$7+$C43*$C$7)/100</f>
        <v>0</v>
      </c>
      <c r="G43" s="227" t="str">
        <f aca="false">IF(A43="","",IF(ISERROR(VLOOKUP($A43,'[1]liste reference'!$A$7:$P$892,13,0)),IF(ISERROR(VLOOKUP($A43,'[1]liste reference'!$B$7:$P$892,12,0)),"    -",VLOOKUP($A43,'[1]liste reference'!$B$7:$P$892,12,0)),VLOOKUP($A43,'[1]liste reference'!$A$7:$P$892,13,0)))</f>
        <v/>
      </c>
      <c r="H43" s="209" t="str">
        <f aca="false">IF(A43="","x",IF(ISERROR(VLOOKUP($A43,'[1]liste reference'!$A$7:$P$892,14,0)),IF(ISERROR(VLOOKUP($A43,'[1]liste reference'!$B$7:$P$892,13,0)),"x",VLOOKUP($A43,'[1]liste reference'!$B$7:$P$892,13,0)),VLOOKUP($A43,'[1]liste reference'!$A$7:$P$892,14,0)))</f>
        <v>x</v>
      </c>
      <c r="I43" s="228" t="str">
        <f aca="false">IF(ISNUMBER(H43),IF(ISERROR(VLOOKUP($A43,'[1]liste reference'!$A$7:$P$892,3,0)),IF(ISERROR(VLOOKUP($A43,'[1]liste reference'!$B$7:$P$892,2,0)),"",VLOOKUP($A43,'[1]liste reference'!$B$7:$P$892,2,0)),VLOOKUP($A43,'[1]liste reference'!$A$7:$P$892,3,0)),"")</f>
        <v/>
      </c>
      <c r="J43" s="211" t="str">
        <f aca="false">IF(ISNUMBER(H43),IF(ISERROR(VLOOKUP($A43,'[1]liste reference'!$A$7:$P$892,4,0)),IF(ISERROR(VLOOKUP($A43,'[1]liste reference'!$B$7:$P$892,3,0)),"",VLOOKUP($A43,'[1]liste reference'!$B$7:$P$892,3,0)),VLOOKUP($A43,'[1]liste reference'!$A$7:$P$892,4,0)),"")</f>
        <v/>
      </c>
      <c r="K43" s="212" t="str">
        <f aca="false">IF(A43="NEWCOD",IF(AB43="","Remplir le champs 'Nouveau taxa' svp.",$AB43),IF(ISTEXT($E43),"DEJA SAISI !",IF(A43="","",IF(ISERROR(VLOOKUP($A43,'[1]liste reference'!$A$7:$D$892,2,0)),IF(ISERROR(VLOOKUP($A43,'[1]liste reference'!$B$7:$D$892,1,0)),"code non répertorié ou synonyme",VLOOKUP($A43,'[1]liste reference'!$B$7:$D$892,1,0)),VLOOKUP(A43,'[1]liste reference'!$A$7:$D$892,2,0)))))</f>
        <v/>
      </c>
      <c r="L43" s="229"/>
      <c r="M43" s="229"/>
      <c r="N43" s="229"/>
      <c r="O43" s="214" t="str">
        <f aca="false">IF(AA43="Cf.","Cf.","")</f>
        <v/>
      </c>
      <c r="P43" s="214" t="str">
        <f aca="false">IF($A43="NEWCOD",IF($AC43="","No",$AC43),IF(ISTEXT($E43),"DEJA SAISI !",IF($A43="","",IF(ISERROR(VLOOKUP($A43,'[1]liste reference'!A$1:S$1048576,19,FALSE())),IF(ISERROR(VLOOKUP($A43,'[1]liste reference'!B$1:S$1048576,19,FALSE())),"",VLOOKUP($A43,'[1]liste reference'!B$1:S$1048576,19,FALSE())),VLOOKUP($A43,'[1]liste reference'!A$1:S$1048576,19,FALSE())))))</f>
        <v/>
      </c>
      <c r="Q43" s="215" t="str">
        <f aca="false">IF(ISTEXT(H43),"",(B43*$B$7/100)+(C43*$C$7/100))</f>
        <v/>
      </c>
      <c r="R43" s="216" t="str">
        <f aca="false">IF(OR(ISTEXT(H43),Q43=0),"",IF(Q43&lt;0.1,1,IF(Q43&lt;1,2,IF(Q43&lt;10,3,IF(Q43&lt;50,4,IF(Q43&gt;=50,5,""))))))</f>
        <v/>
      </c>
      <c r="S43" s="216" t="n">
        <f aca="false">IF(ISERROR(R43*I43),0,R43*I43)</f>
        <v>0</v>
      </c>
      <c r="T43" s="216" t="n">
        <f aca="false">IF(ISERROR(R43*I43*J43),0,R43*I43*J43)</f>
        <v>0</v>
      </c>
      <c r="U43" s="230" t="n">
        <f aca="false">IF(ISERROR(R43*J43),0,R43*J43)</f>
        <v>0</v>
      </c>
      <c r="V43" s="217" t="n">
        <v>0</v>
      </c>
      <c r="W43" s="218"/>
      <c r="Y43" s="219" t="str">
        <f aca="false">IF(A43="new.cod","NEWCOD",IF(AND((Z43=""),ISTEXT(A43)),A43,IF(Z43="","",INDEX('[1]liste reference'!$A$7:$A$892,Z43))))</f>
        <v/>
      </c>
      <c r="Z43" s="10" t="str">
        <f aca="false">IF(ISERROR(MATCH(A43,'[1]liste reference'!$A$7:$A$892,0)),IF(ISERROR(MATCH(A43,'[1]liste reference'!$B$7:$B$892,0)),"",(MATCH(A43,'[1]liste reference'!$B$7:$B$892,0))),(MATCH(A43,'[1]liste reference'!$A$7:$A$892,0)))</f>
        <v/>
      </c>
      <c r="AA43" s="220"/>
      <c r="AB43" s="221"/>
      <c r="AC43" s="221"/>
      <c r="BC43" s="10" t="str">
        <f aca="false">IF(A43="","",1)</f>
        <v/>
      </c>
    </row>
    <row r="44" customFormat="false" ht="12.75" hidden="false" customHeight="false" outlineLevel="0" collapsed="false">
      <c r="A44" s="222"/>
      <c r="B44" s="223"/>
      <c r="C44" s="224"/>
      <c r="D44" s="225" t="str">
        <f aca="false">IF(ISERROR(VLOOKUP($A44,'[1]liste reference'!$A$7:$D$892,2,0)),IF(ISERROR(VLOOKUP($A44,'[1]liste reference'!$B$7:$D$892,1,0)),"",VLOOKUP($A44,'[1]liste reference'!$B$7:$D$892,1,0)),VLOOKUP($A44,'[1]liste reference'!$A$7:$D$892,2,0))</f>
        <v/>
      </c>
      <c r="E44" s="225" t="n">
        <f aca="false">IF(D44="",0,VLOOKUP(D44,D$22:D43,1,0))</f>
        <v>0</v>
      </c>
      <c r="F44" s="232" t="n">
        <f aca="false">($B44*$B$7+$C44*$C$7)/100</f>
        <v>0</v>
      </c>
      <c r="G44" s="227" t="str">
        <f aca="false">IF(A44="","",IF(ISERROR(VLOOKUP($A44,'[1]liste reference'!$A$7:$P$892,13,0)),IF(ISERROR(VLOOKUP($A44,'[1]liste reference'!$B$7:$P$892,12,0)),"    -",VLOOKUP($A44,'[1]liste reference'!$B$7:$P$892,12,0)),VLOOKUP($A44,'[1]liste reference'!$A$7:$P$892,13,0)))</f>
        <v/>
      </c>
      <c r="H44" s="209" t="str">
        <f aca="false">IF(A44="","x",IF(ISERROR(VLOOKUP($A44,'[1]liste reference'!$A$7:$P$892,14,0)),IF(ISERROR(VLOOKUP($A44,'[1]liste reference'!$B$7:$P$892,13,0)),"x",VLOOKUP($A44,'[1]liste reference'!$B$7:$P$892,13,0)),VLOOKUP($A44,'[1]liste reference'!$A$7:$P$892,14,0)))</f>
        <v>x</v>
      </c>
      <c r="I44" s="228" t="str">
        <f aca="false">IF(ISNUMBER(H44),IF(ISERROR(VLOOKUP($A44,'[1]liste reference'!$A$7:$P$892,3,0)),IF(ISERROR(VLOOKUP($A44,'[1]liste reference'!$B$7:$P$892,2,0)),"",VLOOKUP($A44,'[1]liste reference'!$B$7:$P$892,2,0)),VLOOKUP($A44,'[1]liste reference'!$A$7:$P$892,3,0)),"")</f>
        <v/>
      </c>
      <c r="J44" s="211" t="str">
        <f aca="false">IF(ISNUMBER(H44),IF(ISERROR(VLOOKUP($A44,'[1]liste reference'!$A$7:$P$892,4,0)),IF(ISERROR(VLOOKUP($A44,'[1]liste reference'!$B$7:$P$892,3,0)),"",VLOOKUP($A44,'[1]liste reference'!$B$7:$P$892,3,0)),VLOOKUP($A44,'[1]liste reference'!$A$7:$P$892,4,0)),"")</f>
        <v/>
      </c>
      <c r="K44" s="212" t="str">
        <f aca="false">IF(A44="NEWCOD",IF(AB44="","Remplir le champs 'Nouveau taxa' svp.",$AB44),IF(ISTEXT($E44),"DEJA SAISI !",IF(A44="","",IF(ISERROR(VLOOKUP($A44,'[1]liste reference'!$A$7:$D$892,2,0)),IF(ISERROR(VLOOKUP($A44,'[1]liste reference'!$B$7:$D$892,1,0)),"code non répertorié ou synonyme",VLOOKUP($A44,'[1]liste reference'!$B$7:$D$892,1,0)),VLOOKUP(A44,'[1]liste reference'!$A$7:$D$892,2,0)))))</f>
        <v/>
      </c>
      <c r="L44" s="229"/>
      <c r="M44" s="229"/>
      <c r="N44" s="229"/>
      <c r="O44" s="214" t="str">
        <f aca="false">IF(AA44="Cf.","Cf.","")</f>
        <v/>
      </c>
      <c r="P44" s="214" t="str">
        <f aca="false">IF($A44="NEWCOD",IF($AC44="","No",$AC44),IF(ISTEXT($E44),"DEJA SAISI !",IF($A44="","",IF(ISERROR(VLOOKUP($A44,'[1]liste reference'!A$1:S$1048576,19,FALSE())),IF(ISERROR(VLOOKUP($A44,'[1]liste reference'!B$1:S$1048576,19,FALSE())),"",VLOOKUP($A44,'[1]liste reference'!B$1:S$1048576,19,FALSE())),VLOOKUP($A44,'[1]liste reference'!A$1:S$1048576,19,FALSE())))))</f>
        <v/>
      </c>
      <c r="Q44" s="215" t="str">
        <f aca="false">IF(ISTEXT(H44),"",(B44*$B$7/100)+(C44*$C$7/100))</f>
        <v/>
      </c>
      <c r="R44" s="216" t="str">
        <f aca="false">IF(OR(ISTEXT(H44),Q44=0),"",IF(Q44&lt;0.1,1,IF(Q44&lt;1,2,IF(Q44&lt;10,3,IF(Q44&lt;50,4,IF(Q44&gt;=50,5,""))))))</f>
        <v/>
      </c>
      <c r="S44" s="216" t="n">
        <f aca="false">IF(ISERROR(R44*I44),0,R44*I44)</f>
        <v>0</v>
      </c>
      <c r="T44" s="216" t="n">
        <f aca="false">IF(ISERROR(R44*I44*J44),0,R44*I44*J44)</f>
        <v>0</v>
      </c>
      <c r="U44" s="230" t="n">
        <f aca="false">IF(ISERROR(R44*J44),0,R44*J44)</f>
        <v>0</v>
      </c>
      <c r="V44" s="217" t="n">
        <v>0</v>
      </c>
      <c r="W44" s="218"/>
      <c r="Y44" s="219" t="str">
        <f aca="false">IF(A44="new.cod","NEWCOD",IF(AND((Z44=""),ISTEXT(A44)),A44,IF(Z44="","",INDEX('[1]liste reference'!$A$7:$A$892,Z44))))</f>
        <v/>
      </c>
      <c r="Z44" s="10" t="str">
        <f aca="false">IF(ISERROR(MATCH(A44,'[1]liste reference'!$A$7:$A$892,0)),IF(ISERROR(MATCH(A44,'[1]liste reference'!$B$7:$B$892,0)),"",(MATCH(A44,'[1]liste reference'!$B$7:$B$892,0))),(MATCH(A44,'[1]liste reference'!$A$7:$A$892,0)))</f>
        <v/>
      </c>
      <c r="AA44" s="220"/>
      <c r="AB44" s="221"/>
      <c r="AC44" s="221"/>
      <c r="BC44" s="10" t="str">
        <f aca="false">IF(A44="","",1)</f>
        <v/>
      </c>
    </row>
    <row r="45" customFormat="false" ht="12.75" hidden="false" customHeight="false" outlineLevel="0" collapsed="false">
      <c r="A45" s="222"/>
      <c r="B45" s="223"/>
      <c r="C45" s="224"/>
      <c r="D45" s="225" t="str">
        <f aca="false">IF(ISERROR(VLOOKUP($A45,'[1]liste reference'!$A$7:$D$892,2,0)),IF(ISERROR(VLOOKUP($A45,'[1]liste reference'!$B$7:$D$892,1,0)),"",VLOOKUP($A45,'[1]liste reference'!$B$7:$D$892,1,0)),VLOOKUP($A45,'[1]liste reference'!$A$7:$D$892,2,0))</f>
        <v/>
      </c>
      <c r="E45" s="225" t="n">
        <f aca="false">IF(D45="",0,VLOOKUP(D45,D$22:D44,1,0))</f>
        <v>0</v>
      </c>
      <c r="F45" s="232" t="n">
        <f aca="false">($B45*$B$7+$C45*$C$7)/100</f>
        <v>0</v>
      </c>
      <c r="G45" s="227" t="str">
        <f aca="false">IF(A45="","",IF(ISERROR(VLOOKUP($A45,'[1]liste reference'!$A$7:$P$892,13,0)),IF(ISERROR(VLOOKUP($A45,'[1]liste reference'!$B$7:$P$892,12,0)),"    -",VLOOKUP($A45,'[1]liste reference'!$B$7:$P$892,12,0)),VLOOKUP($A45,'[1]liste reference'!$A$7:$P$892,13,0)))</f>
        <v/>
      </c>
      <c r="H45" s="209" t="str">
        <f aca="false">IF(A45="","x",IF(ISERROR(VLOOKUP($A45,'[1]liste reference'!$A$7:$P$892,14,0)),IF(ISERROR(VLOOKUP($A45,'[1]liste reference'!$B$7:$P$892,13,0)),"x",VLOOKUP($A45,'[1]liste reference'!$B$7:$P$892,13,0)),VLOOKUP($A45,'[1]liste reference'!$A$7:$P$892,14,0)))</f>
        <v>x</v>
      </c>
      <c r="I45" s="228" t="str">
        <f aca="false">IF(ISNUMBER(H45),IF(ISERROR(VLOOKUP($A45,'[1]liste reference'!$A$7:$P$892,3,0)),IF(ISERROR(VLOOKUP($A45,'[1]liste reference'!$B$7:$P$892,2,0)),"",VLOOKUP($A45,'[1]liste reference'!$B$7:$P$892,2,0)),VLOOKUP($A45,'[1]liste reference'!$A$7:$P$892,3,0)),"")</f>
        <v/>
      </c>
      <c r="J45" s="211" t="str">
        <f aca="false">IF(ISNUMBER(H45),IF(ISERROR(VLOOKUP($A45,'[1]liste reference'!$A$7:$P$892,4,0)),IF(ISERROR(VLOOKUP($A45,'[1]liste reference'!$B$7:$P$892,3,0)),"",VLOOKUP($A45,'[1]liste reference'!$B$7:$P$892,3,0)),VLOOKUP($A45,'[1]liste reference'!$A$7:$P$892,4,0)),"")</f>
        <v/>
      </c>
      <c r="K45" s="212" t="str">
        <f aca="false">IF(A45="NEWCOD",IF(AB45="","Remplir le champs 'Nouveau taxa' svp.",$AB45),IF(ISTEXT($E45),"DEJA SAISI !",IF(A45="","",IF(ISERROR(VLOOKUP($A45,'[1]liste reference'!$A$7:$D$892,2,0)),IF(ISERROR(VLOOKUP($A45,'[1]liste reference'!$B$7:$D$892,1,0)),"code non répertorié ou synonyme",VLOOKUP($A45,'[1]liste reference'!$B$7:$D$892,1,0)),VLOOKUP(A45,'[1]liste reference'!$A$7:$D$892,2,0)))))</f>
        <v/>
      </c>
      <c r="L45" s="229"/>
      <c r="M45" s="229"/>
      <c r="N45" s="229"/>
      <c r="O45" s="214" t="str">
        <f aca="false">IF(AA45="Cf.","Cf.","")</f>
        <v/>
      </c>
      <c r="P45" s="214" t="str">
        <f aca="false">IF($A45="NEWCOD",IF($AC45="","No",$AC45),IF(ISTEXT($E45),"DEJA SAISI !",IF($A45="","",IF(ISERROR(VLOOKUP($A45,'[1]liste reference'!A$1:S$1048576,19,FALSE())),IF(ISERROR(VLOOKUP($A45,'[1]liste reference'!B$1:S$1048576,19,FALSE())),"",VLOOKUP($A45,'[1]liste reference'!B$1:S$1048576,19,FALSE())),VLOOKUP($A45,'[1]liste reference'!A$1:S$1048576,19,FALSE())))))</f>
        <v/>
      </c>
      <c r="Q45" s="215" t="str">
        <f aca="false">IF(ISTEXT(H45),"",(B45*$B$7/100)+(C45*$C$7/100))</f>
        <v/>
      </c>
      <c r="R45" s="216" t="str">
        <f aca="false">IF(OR(ISTEXT(H45),Q45=0),"",IF(Q45&lt;0.1,1,IF(Q45&lt;1,2,IF(Q45&lt;10,3,IF(Q45&lt;50,4,IF(Q45&gt;=50,5,""))))))</f>
        <v/>
      </c>
      <c r="S45" s="216" t="n">
        <f aca="false">IF(ISERROR(R45*I45),0,R45*I45)</f>
        <v>0</v>
      </c>
      <c r="T45" s="216" t="n">
        <f aca="false">IF(ISERROR(R45*I45*J45),0,R45*I45*J45)</f>
        <v>0</v>
      </c>
      <c r="U45" s="230" t="n">
        <f aca="false">IF(ISERROR(R45*J45),0,R45*J45)</f>
        <v>0</v>
      </c>
      <c r="V45" s="217" t="n">
        <v>0</v>
      </c>
      <c r="W45" s="218"/>
      <c r="Y45" s="219" t="str">
        <f aca="false">IF(A45="new.cod","NEWCOD",IF(AND((Z45=""),ISTEXT(A45)),A45,IF(Z45="","",INDEX('[1]liste reference'!$A$7:$A$892,Z45))))</f>
        <v/>
      </c>
      <c r="Z45" s="10" t="str">
        <f aca="false">IF(ISERROR(MATCH(A45,'[1]liste reference'!$A$7:$A$892,0)),IF(ISERROR(MATCH(A45,'[1]liste reference'!$B$7:$B$892,0)),"",(MATCH(A45,'[1]liste reference'!$B$7:$B$892,0))),(MATCH(A45,'[1]liste reference'!$A$7:$A$892,0)))</f>
        <v/>
      </c>
      <c r="AA45" s="220"/>
      <c r="AB45" s="221"/>
      <c r="AC45" s="221"/>
      <c r="BC45" s="10" t="str">
        <f aca="false">IF(A45="","",1)</f>
        <v/>
      </c>
    </row>
    <row r="46" customFormat="false" ht="12.75" hidden="false" customHeight="false" outlineLevel="0" collapsed="false">
      <c r="A46" s="222"/>
      <c r="B46" s="223"/>
      <c r="C46" s="224"/>
      <c r="D46" s="225" t="str">
        <f aca="false">IF(ISERROR(VLOOKUP($A46,'[1]liste reference'!$A$7:$D$892,2,0)),IF(ISERROR(VLOOKUP($A46,'[1]liste reference'!$B$7:$D$892,1,0)),"",VLOOKUP($A46,'[1]liste reference'!$B$7:$D$892,1,0)),VLOOKUP($A46,'[1]liste reference'!$A$7:$D$892,2,0))</f>
        <v/>
      </c>
      <c r="E46" s="225" t="n">
        <f aca="false">IF(D46="",0,VLOOKUP(D46,D$22:D39,1,0))</f>
        <v>0</v>
      </c>
      <c r="F46" s="232" t="n">
        <f aca="false">($B46*$B$7+$C46*$C$7)/100</f>
        <v>0</v>
      </c>
      <c r="G46" s="227" t="str">
        <f aca="false">IF(A46="","",IF(ISERROR(VLOOKUP($A46,'[1]liste reference'!$A$7:$P$892,13,0)),IF(ISERROR(VLOOKUP($A46,'[1]liste reference'!$B$7:$P$892,12,0)),"    -",VLOOKUP($A46,'[1]liste reference'!$B$7:$P$892,12,0)),VLOOKUP($A46,'[1]liste reference'!$A$7:$P$892,13,0)))</f>
        <v/>
      </c>
      <c r="H46" s="209" t="str">
        <f aca="false">IF(A46="","x",IF(ISERROR(VLOOKUP($A46,'[1]liste reference'!$A$7:$P$892,14,0)),IF(ISERROR(VLOOKUP($A46,'[1]liste reference'!$B$7:$P$892,13,0)),"x",VLOOKUP($A46,'[1]liste reference'!$B$7:$P$892,13,0)),VLOOKUP($A46,'[1]liste reference'!$A$7:$P$892,14,0)))</f>
        <v>x</v>
      </c>
      <c r="I46" s="228" t="str">
        <f aca="false">IF(ISNUMBER(H46),IF(ISERROR(VLOOKUP($A46,'[1]liste reference'!$A$7:$P$892,3,0)),IF(ISERROR(VLOOKUP($A46,'[1]liste reference'!$B$7:$P$892,2,0)),"",VLOOKUP($A46,'[1]liste reference'!$B$7:$P$892,2,0)),VLOOKUP($A46,'[1]liste reference'!$A$7:$P$892,3,0)),"")</f>
        <v/>
      </c>
      <c r="J46" s="211" t="str">
        <f aca="false">IF(ISNUMBER(H46),IF(ISERROR(VLOOKUP($A46,'[1]liste reference'!$A$7:$P$892,4,0)),IF(ISERROR(VLOOKUP($A46,'[1]liste reference'!$B$7:$P$892,3,0)),"",VLOOKUP($A46,'[1]liste reference'!$B$7:$P$892,3,0)),VLOOKUP($A46,'[1]liste reference'!$A$7:$P$892,4,0)),"")</f>
        <v/>
      </c>
      <c r="K46" s="212" t="str">
        <f aca="false">IF(A46="NEWCOD",IF(AB46="","Remplir le champs 'Nouveau taxa' svp.",$AB46),IF(ISTEXT($E46),"DEJA SAISI !",IF(A46="","",IF(ISERROR(VLOOKUP($A46,'[1]liste reference'!$A$7:$D$892,2,0)),IF(ISERROR(VLOOKUP($A46,'[1]liste reference'!$B$7:$D$892,1,0)),"code non répertorié ou synonyme",VLOOKUP($A46,'[1]liste reference'!$B$7:$D$892,1,0)),VLOOKUP(A46,'[1]liste reference'!$A$7:$D$892,2,0)))))</f>
        <v/>
      </c>
      <c r="L46" s="229"/>
      <c r="M46" s="229"/>
      <c r="N46" s="229"/>
      <c r="O46" s="214" t="str">
        <f aca="false">IF(AA46="Cf.","Cf.","")</f>
        <v/>
      </c>
      <c r="P46" s="214" t="str">
        <f aca="false">IF($A46="NEWCOD",IF($AC46="","No",$AC46),IF(ISTEXT($E46),"DEJA SAISI !",IF($A46="","",IF(ISERROR(VLOOKUP($A46,'[1]liste reference'!A$1:S$1048576,19,FALSE())),IF(ISERROR(VLOOKUP($A46,'[1]liste reference'!B$1:S$1048576,19,FALSE())),"",VLOOKUP($A46,'[1]liste reference'!B$1:S$1048576,19,FALSE())),VLOOKUP($A46,'[1]liste reference'!A$1:S$1048576,19,FALSE())))))</f>
        <v/>
      </c>
      <c r="Q46" s="215" t="str">
        <f aca="false">IF(ISTEXT(H46),"",(B46*$B$7/100)+(C46*$C$7/100))</f>
        <v/>
      </c>
      <c r="R46" s="216" t="str">
        <f aca="false">IF(OR(ISTEXT(H46),Q46=0),"",IF(Q46&lt;0.1,1,IF(Q46&lt;1,2,IF(Q46&lt;10,3,IF(Q46&lt;50,4,IF(Q46&gt;=50,5,""))))))</f>
        <v/>
      </c>
      <c r="S46" s="216" t="n">
        <f aca="false">IF(ISERROR(R46*I46),0,R46*I46)</f>
        <v>0</v>
      </c>
      <c r="T46" s="216" t="n">
        <f aca="false">IF(ISERROR(R46*I46*J46),0,R46*I46*J46)</f>
        <v>0</v>
      </c>
      <c r="U46" s="230" t="n">
        <f aca="false">IF(ISERROR(R46*J46),0,R46*J46)</f>
        <v>0</v>
      </c>
      <c r="V46" s="217" t="n">
        <v>0</v>
      </c>
      <c r="W46" s="218"/>
      <c r="Y46" s="219" t="str">
        <f aca="false">IF(A46="new.cod","NEWCOD",IF(AND((Z46=""),ISTEXT(A46)),A46,IF(Z46="","",INDEX('[1]liste reference'!$A$7:$A$892,Z46))))</f>
        <v/>
      </c>
      <c r="Z46" s="10" t="str">
        <f aca="false">IF(ISERROR(MATCH(A46,'[1]liste reference'!$A$7:$A$892,0)),IF(ISERROR(MATCH(A46,'[1]liste reference'!$B$7:$B$892,0)),"",(MATCH(A46,'[1]liste reference'!$B$7:$B$892,0))),(MATCH(A46,'[1]liste reference'!$A$7:$A$892,0)))</f>
        <v/>
      </c>
      <c r="AA46" s="220"/>
      <c r="AB46" s="221"/>
      <c r="AC46" s="221"/>
      <c r="BC46" s="10" t="str">
        <f aca="false">IF(A46="","",1)</f>
        <v/>
      </c>
    </row>
    <row r="47" customFormat="false" ht="12.75" hidden="false" customHeight="false" outlineLevel="0" collapsed="false">
      <c r="A47" s="222"/>
      <c r="B47" s="223"/>
      <c r="C47" s="224"/>
      <c r="D47" s="225" t="str">
        <f aca="false">IF(ISERROR(VLOOKUP($A47,'[1]liste reference'!$A$7:$D$892,2,0)),IF(ISERROR(VLOOKUP($A47,'[1]liste reference'!$B$7:$D$892,1,0)),"",VLOOKUP($A47,'[1]liste reference'!$B$7:$D$892,1,0)),VLOOKUP($A47,'[1]liste reference'!$A$7:$D$892,2,0))</f>
        <v/>
      </c>
      <c r="E47" s="225" t="n">
        <f aca="false">IF(D47="",0,VLOOKUP(D47,D$22:D39,1,0))</f>
        <v>0</v>
      </c>
      <c r="F47" s="232" t="n">
        <f aca="false">($B47*$B$7+$C47*$C$7)/100</f>
        <v>0</v>
      </c>
      <c r="G47" s="227" t="str">
        <f aca="false">IF(A47="","",IF(ISERROR(VLOOKUP($A47,'[1]liste reference'!$A$7:$P$892,13,0)),IF(ISERROR(VLOOKUP($A47,'[1]liste reference'!$B$7:$P$892,12,0)),"    -",VLOOKUP($A47,'[1]liste reference'!$B$7:$P$892,12,0)),VLOOKUP($A47,'[1]liste reference'!$A$7:$P$892,13,0)))</f>
        <v/>
      </c>
      <c r="H47" s="209" t="str">
        <f aca="false">IF(A47="","x",IF(ISERROR(VLOOKUP($A47,'[1]liste reference'!$A$7:$P$892,14,0)),IF(ISERROR(VLOOKUP($A47,'[1]liste reference'!$B$7:$P$892,13,0)),"x",VLOOKUP($A47,'[1]liste reference'!$B$7:$P$892,13,0)),VLOOKUP($A47,'[1]liste reference'!$A$7:$P$892,14,0)))</f>
        <v>x</v>
      </c>
      <c r="I47" s="228" t="str">
        <f aca="false">IF(ISNUMBER(H47),IF(ISERROR(VLOOKUP($A47,'[1]liste reference'!$A$7:$P$892,3,0)),IF(ISERROR(VLOOKUP($A47,'[1]liste reference'!$B$7:$P$892,2,0)),"",VLOOKUP($A47,'[1]liste reference'!$B$7:$P$892,2,0)),VLOOKUP($A47,'[1]liste reference'!$A$7:$P$892,3,0)),"")</f>
        <v/>
      </c>
      <c r="J47" s="211" t="str">
        <f aca="false">IF(ISNUMBER(H47),IF(ISERROR(VLOOKUP($A47,'[1]liste reference'!$A$7:$P$892,4,0)),IF(ISERROR(VLOOKUP($A47,'[1]liste reference'!$B$7:$P$892,3,0)),"",VLOOKUP($A47,'[1]liste reference'!$B$7:$P$892,3,0)),VLOOKUP($A47,'[1]liste reference'!$A$7:$P$892,4,0)),"")</f>
        <v/>
      </c>
      <c r="K47" s="212" t="str">
        <f aca="false">IF(A47="NEWCOD",IF(AB47="","Remplir le champs 'Nouveau taxa' svp.",$AB47),IF(ISTEXT($E47),"DEJA SAISI !",IF(A47="","",IF(ISERROR(VLOOKUP($A47,'[1]liste reference'!$A$7:$D$892,2,0)),IF(ISERROR(VLOOKUP($A47,'[1]liste reference'!$B$7:$D$892,1,0)),"code non répertorié ou synonyme",VLOOKUP($A47,'[1]liste reference'!$B$7:$D$892,1,0)),VLOOKUP(A47,'[1]liste reference'!$A$7:$D$892,2,0)))))</f>
        <v/>
      </c>
      <c r="L47" s="229"/>
      <c r="M47" s="229"/>
      <c r="N47" s="229"/>
      <c r="O47" s="214" t="str">
        <f aca="false">IF(AA47="Cf.","Cf.","")</f>
        <v/>
      </c>
      <c r="P47" s="214" t="str">
        <f aca="false">IF($A47="NEWCOD",IF($AC47="","No",$AC47),IF(ISTEXT($E47),"DEJA SAISI !",IF($A47="","",IF(ISERROR(VLOOKUP($A47,'[1]liste reference'!A$1:S$1048576,19,FALSE())),IF(ISERROR(VLOOKUP($A47,'[1]liste reference'!B$1:S$1048576,19,FALSE())),"",VLOOKUP($A47,'[1]liste reference'!B$1:S$1048576,19,FALSE())),VLOOKUP($A47,'[1]liste reference'!A$1:S$1048576,19,FALSE())))))</f>
        <v/>
      </c>
      <c r="Q47" s="215" t="str">
        <f aca="false">IF(ISTEXT(H47),"",(B47*$B$7/100)+(C47*$C$7/100))</f>
        <v/>
      </c>
      <c r="R47" s="216" t="str">
        <f aca="false">IF(OR(ISTEXT(H47),Q47=0),"",IF(Q47&lt;0.1,1,IF(Q47&lt;1,2,IF(Q47&lt;10,3,IF(Q47&lt;50,4,IF(Q47&gt;=50,5,""))))))</f>
        <v/>
      </c>
      <c r="S47" s="216" t="n">
        <f aca="false">IF(ISERROR(R47*I47),0,R47*I47)</f>
        <v>0</v>
      </c>
      <c r="T47" s="216" t="n">
        <f aca="false">IF(ISERROR(R47*I47*J47),0,R47*I47*J47)</f>
        <v>0</v>
      </c>
      <c r="U47" s="230" t="n">
        <f aca="false">IF(ISERROR(R47*J47),0,R47*J47)</f>
        <v>0</v>
      </c>
      <c r="V47" s="217" t="n">
        <v>0</v>
      </c>
      <c r="W47" s="218"/>
      <c r="Y47" s="219" t="str">
        <f aca="false">IF(A47="new.cod","NEWCOD",IF(AND((Z47=""),ISTEXT(A47)),A47,IF(Z47="","",INDEX('[1]liste reference'!$A$7:$A$892,Z47))))</f>
        <v/>
      </c>
      <c r="Z47" s="10" t="str">
        <f aca="false">IF(ISERROR(MATCH(A47,'[1]liste reference'!$A$7:$A$892,0)),IF(ISERROR(MATCH(A47,'[1]liste reference'!$B$7:$B$892,0)),"",(MATCH(A47,'[1]liste reference'!$B$7:$B$892,0))),(MATCH(A47,'[1]liste reference'!$A$7:$A$892,0)))</f>
        <v/>
      </c>
      <c r="AA47" s="220"/>
      <c r="AB47" s="221"/>
      <c r="AC47" s="221"/>
      <c r="BC47" s="10" t="str">
        <f aca="false">IF(A47="","",1)</f>
        <v/>
      </c>
    </row>
    <row r="48" customFormat="false" ht="12.75" hidden="false" customHeight="false" outlineLevel="0" collapsed="false">
      <c r="A48" s="222"/>
      <c r="B48" s="223"/>
      <c r="C48" s="224"/>
      <c r="D48" s="225" t="str">
        <f aca="false">IF(ISERROR(VLOOKUP($A48,'[1]liste reference'!$A$7:$D$892,2,0)),IF(ISERROR(VLOOKUP($A48,'[1]liste reference'!$B$7:$D$892,1,0)),"",VLOOKUP($A48,'[1]liste reference'!$B$7:$D$892,1,0)),VLOOKUP($A48,'[1]liste reference'!$A$7:$D$892,2,0))</f>
        <v/>
      </c>
      <c r="E48" s="225" t="n">
        <f aca="false">IF(D48="",0,VLOOKUP(D48,D$22:D40,1,0))</f>
        <v>0</v>
      </c>
      <c r="F48" s="232" t="n">
        <f aca="false">($B48*$B$7+$C48*$C$7)/100</f>
        <v>0</v>
      </c>
      <c r="G48" s="227" t="str">
        <f aca="false">IF(A48="","",IF(ISERROR(VLOOKUP($A48,'[1]liste reference'!$A$7:$P$892,13,0)),IF(ISERROR(VLOOKUP($A48,'[1]liste reference'!$B$7:$P$892,12,0)),"    -",VLOOKUP($A48,'[1]liste reference'!$B$7:$P$892,12,0)),VLOOKUP($A48,'[1]liste reference'!$A$7:$P$892,13,0)))</f>
        <v/>
      </c>
      <c r="H48" s="209" t="str">
        <f aca="false">IF(A48="","x",IF(ISERROR(VLOOKUP($A48,'[1]liste reference'!$A$7:$P$892,14,0)),IF(ISERROR(VLOOKUP($A48,'[1]liste reference'!$B$7:$P$892,13,0)),"x",VLOOKUP($A48,'[1]liste reference'!$B$7:$P$892,13,0)),VLOOKUP($A48,'[1]liste reference'!$A$7:$P$892,14,0)))</f>
        <v>x</v>
      </c>
      <c r="I48" s="228" t="str">
        <f aca="false">IF(ISNUMBER(H48),IF(ISERROR(VLOOKUP($A48,'[1]liste reference'!$A$7:$P$892,3,0)),IF(ISERROR(VLOOKUP($A48,'[1]liste reference'!$B$7:$P$892,2,0)),"",VLOOKUP($A48,'[1]liste reference'!$B$7:$P$892,2,0)),VLOOKUP($A48,'[1]liste reference'!$A$7:$P$892,3,0)),"")</f>
        <v/>
      </c>
      <c r="J48" s="211" t="str">
        <f aca="false">IF(ISNUMBER(H48),IF(ISERROR(VLOOKUP($A48,'[1]liste reference'!$A$7:$P$892,4,0)),IF(ISERROR(VLOOKUP($A48,'[1]liste reference'!$B$7:$P$892,3,0)),"",VLOOKUP($A48,'[1]liste reference'!$B$7:$P$892,3,0)),VLOOKUP($A48,'[1]liste reference'!$A$7:$P$892,4,0)),"")</f>
        <v/>
      </c>
      <c r="K48" s="212" t="str">
        <f aca="false">IF(A48="NEWCOD",IF(AB48="","Remplir le champs 'Nouveau taxa' svp.",$AB48),IF(ISTEXT($E48),"DEJA SAISI !",IF(A48="","",IF(ISERROR(VLOOKUP($A48,'[1]liste reference'!$A$7:$D$892,2,0)),IF(ISERROR(VLOOKUP($A48,'[1]liste reference'!$B$7:$D$892,1,0)),"code non répertorié ou synonyme",VLOOKUP($A48,'[1]liste reference'!$B$7:$D$892,1,0)),VLOOKUP(A48,'[1]liste reference'!$A$7:$D$892,2,0)))))</f>
        <v/>
      </c>
      <c r="L48" s="229"/>
      <c r="M48" s="229"/>
      <c r="N48" s="229"/>
      <c r="O48" s="214" t="str">
        <f aca="false">IF(AA48="Cf.","Cf.","")</f>
        <v/>
      </c>
      <c r="P48" s="214" t="str">
        <f aca="false">IF($A48="NEWCOD",IF($AC48="","No",$AC48),IF(ISTEXT($E48),"DEJA SAISI !",IF($A48="","",IF(ISERROR(VLOOKUP($A48,'[1]liste reference'!A$1:S$1048576,19,FALSE())),IF(ISERROR(VLOOKUP($A48,'[1]liste reference'!B$1:S$1048576,19,FALSE())),"",VLOOKUP($A48,'[1]liste reference'!B$1:S$1048576,19,FALSE())),VLOOKUP($A48,'[1]liste reference'!A$1:S$1048576,19,FALSE())))))</f>
        <v/>
      </c>
      <c r="Q48" s="215" t="str">
        <f aca="false">IF(ISTEXT(H48),"",(B48*$B$7/100)+(C48*$C$7/100))</f>
        <v/>
      </c>
      <c r="R48" s="216" t="str">
        <f aca="false">IF(OR(ISTEXT(H48),Q48=0),"",IF(Q48&lt;0.1,1,IF(Q48&lt;1,2,IF(Q48&lt;10,3,IF(Q48&lt;50,4,IF(Q48&gt;=50,5,""))))))</f>
        <v/>
      </c>
      <c r="S48" s="216" t="n">
        <f aca="false">IF(ISERROR(R48*I48),0,R48*I48)</f>
        <v>0</v>
      </c>
      <c r="T48" s="216" t="n">
        <f aca="false">IF(ISERROR(R48*I48*J48),0,R48*I48*J48)</f>
        <v>0</v>
      </c>
      <c r="U48" s="230" t="n">
        <f aca="false">IF(ISERROR(R48*J48),0,R48*J48)</f>
        <v>0</v>
      </c>
      <c r="V48" s="217" t="n">
        <v>0</v>
      </c>
      <c r="W48" s="218"/>
      <c r="Y48" s="219" t="str">
        <f aca="false">IF(A48="new.cod","NEWCOD",IF(AND((Z48=""),ISTEXT(A48)),A48,IF(Z48="","",INDEX('[1]liste reference'!$A$7:$A$892,Z48))))</f>
        <v/>
      </c>
      <c r="Z48" s="10" t="str">
        <f aca="false">IF(ISERROR(MATCH(A48,'[1]liste reference'!$A$7:$A$892,0)),IF(ISERROR(MATCH(A48,'[1]liste reference'!$B$7:$B$892,0)),"",(MATCH(A48,'[1]liste reference'!$B$7:$B$892,0))),(MATCH(A48,'[1]liste reference'!$A$7:$A$892,0)))</f>
        <v/>
      </c>
      <c r="AA48" s="220"/>
      <c r="AB48" s="221"/>
      <c r="AC48" s="221"/>
      <c r="BC48" s="10" t="str">
        <f aca="false">IF(A48="","",1)</f>
        <v/>
      </c>
    </row>
    <row r="49" customFormat="false" ht="12.75" hidden="false" customHeight="false" outlineLevel="0" collapsed="false">
      <c r="A49" s="222"/>
      <c r="B49" s="223"/>
      <c r="C49" s="224"/>
      <c r="D49" s="225" t="str">
        <f aca="false">IF(ISERROR(VLOOKUP($A49,'[1]liste reference'!$A$7:$D$892,2,0)),IF(ISERROR(VLOOKUP($A49,'[1]liste reference'!$B$7:$D$892,1,0)),"",VLOOKUP($A49,'[1]liste reference'!$B$7:$D$892,1,0)),VLOOKUP($A49,'[1]liste reference'!$A$7:$D$892,2,0))</f>
        <v/>
      </c>
      <c r="E49" s="225" t="n">
        <f aca="false">IF(D49="",0,VLOOKUP(D49,D$22:D48,1,0))</f>
        <v>0</v>
      </c>
      <c r="F49" s="232" t="n">
        <f aca="false">($B49*$B$7+$C49*$C$7)/100</f>
        <v>0</v>
      </c>
      <c r="G49" s="227" t="str">
        <f aca="false">IF(A49="","",IF(ISERROR(VLOOKUP($A49,'[1]liste reference'!$A$7:$P$892,13,0)),IF(ISERROR(VLOOKUP($A49,'[1]liste reference'!$B$7:$P$892,12,0)),"    -",VLOOKUP($A49,'[1]liste reference'!$B$7:$P$892,12,0)),VLOOKUP($A49,'[1]liste reference'!$A$7:$P$892,13,0)))</f>
        <v/>
      </c>
      <c r="H49" s="209" t="str">
        <f aca="false">IF(A49="","x",IF(ISERROR(VLOOKUP($A49,'[1]liste reference'!$A$7:$P$892,14,0)),IF(ISERROR(VLOOKUP($A49,'[1]liste reference'!$B$7:$P$892,13,0)),"x",VLOOKUP($A49,'[1]liste reference'!$B$7:$P$892,13,0)),VLOOKUP($A49,'[1]liste reference'!$A$7:$P$892,14,0)))</f>
        <v>x</v>
      </c>
      <c r="I49" s="228" t="str">
        <f aca="false">IF(ISNUMBER(H49),IF(ISERROR(VLOOKUP($A49,'[1]liste reference'!$A$7:$P$892,3,0)),IF(ISERROR(VLOOKUP($A49,'[1]liste reference'!$B$7:$P$892,2,0)),"",VLOOKUP($A49,'[1]liste reference'!$B$7:$P$892,2,0)),VLOOKUP($A49,'[1]liste reference'!$A$7:$P$892,3,0)),"")</f>
        <v/>
      </c>
      <c r="J49" s="211" t="str">
        <f aca="false">IF(ISNUMBER(H49),IF(ISERROR(VLOOKUP($A49,'[1]liste reference'!$A$7:$P$892,4,0)),IF(ISERROR(VLOOKUP($A49,'[1]liste reference'!$B$7:$P$892,3,0)),"",VLOOKUP($A49,'[1]liste reference'!$B$7:$P$892,3,0)),VLOOKUP($A49,'[1]liste reference'!$A$7:$P$892,4,0)),"")</f>
        <v/>
      </c>
      <c r="K49" s="212" t="str">
        <f aca="false">IF(A49="NEWCOD",IF(AB49="","Remplir le champs 'Nouveau taxa' svp.",$AB49),IF(ISTEXT($E49),"DEJA SAISI !",IF(A49="","",IF(ISERROR(VLOOKUP($A49,'[1]liste reference'!$A$7:$D$892,2,0)),IF(ISERROR(VLOOKUP($A49,'[1]liste reference'!$B$7:$D$892,1,0)),"code non répertorié ou synonyme",VLOOKUP($A49,'[1]liste reference'!$B$7:$D$892,1,0)),VLOOKUP(A49,'[1]liste reference'!$A$7:$D$892,2,0)))))</f>
        <v/>
      </c>
      <c r="L49" s="229"/>
      <c r="M49" s="229"/>
      <c r="N49" s="229"/>
      <c r="O49" s="214" t="str">
        <f aca="false">IF(AA49="Cf.","Cf.","")</f>
        <v/>
      </c>
      <c r="P49" s="214" t="str">
        <f aca="false">IF($A49="NEWCOD",IF($AC49="","No",$AC49),IF(ISTEXT($E49),"DEJA SAISI !",IF($A49="","",IF(ISERROR(VLOOKUP($A49,'[1]liste reference'!A$1:S$1048576,19,FALSE())),IF(ISERROR(VLOOKUP($A49,'[1]liste reference'!B$1:S$1048576,19,FALSE())),"",VLOOKUP($A49,'[1]liste reference'!B$1:S$1048576,19,FALSE())),VLOOKUP($A49,'[1]liste reference'!A$1:S$1048576,19,FALSE())))))</f>
        <v/>
      </c>
      <c r="Q49" s="215" t="str">
        <f aca="false">IF(ISTEXT(H49),"",(B49*$B$7/100)+(C49*$C$7/100))</f>
        <v/>
      </c>
      <c r="R49" s="216" t="str">
        <f aca="false">IF(OR(ISTEXT(H49),Q49=0),"",IF(Q49&lt;0.1,1,IF(Q49&lt;1,2,IF(Q49&lt;10,3,IF(Q49&lt;50,4,IF(Q49&gt;=50,5,""))))))</f>
        <v/>
      </c>
      <c r="S49" s="216" t="n">
        <f aca="false">IF(ISERROR(R49*I49),0,R49*I49)</f>
        <v>0</v>
      </c>
      <c r="T49" s="216" t="n">
        <f aca="false">IF(ISERROR(R49*I49*J49),0,R49*I49*J49)</f>
        <v>0</v>
      </c>
      <c r="U49" s="230" t="n">
        <f aca="false">IF(ISERROR(R49*J49),0,R49*J49)</f>
        <v>0</v>
      </c>
      <c r="V49" s="217" t="n">
        <v>0</v>
      </c>
      <c r="W49" s="218"/>
      <c r="Y49" s="219" t="str">
        <f aca="false">IF(A49="new.cod","NEWCOD",IF(AND((Z49=""),ISTEXT(A49)),A49,IF(Z49="","",INDEX('[1]liste reference'!$A$7:$A$892,Z49))))</f>
        <v/>
      </c>
      <c r="Z49" s="10" t="str">
        <f aca="false">IF(ISERROR(MATCH(A49,'[1]liste reference'!$A$7:$A$892,0)),IF(ISERROR(MATCH(A49,'[1]liste reference'!$B$7:$B$892,0)),"",(MATCH(A49,'[1]liste reference'!$B$7:$B$892,0))),(MATCH(A49,'[1]liste reference'!$A$7:$A$892,0)))</f>
        <v/>
      </c>
      <c r="AA49" s="220"/>
      <c r="AB49" s="221"/>
      <c r="AC49" s="221"/>
      <c r="BC49" s="10" t="str">
        <f aca="false">IF(A49="","",1)</f>
        <v/>
      </c>
    </row>
    <row r="50" customFormat="false" ht="12.75" hidden="false" customHeight="false" outlineLevel="0" collapsed="false">
      <c r="A50" s="222"/>
      <c r="B50" s="223"/>
      <c r="C50" s="224"/>
      <c r="D50" s="225" t="str">
        <f aca="false">IF(ISERROR(VLOOKUP($A50,'[1]liste reference'!$A$7:$D$892,2,0)),IF(ISERROR(VLOOKUP($A50,'[1]liste reference'!$B$7:$D$892,1,0)),"",VLOOKUP($A50,'[1]liste reference'!$B$7:$D$892,1,0)),VLOOKUP($A50,'[1]liste reference'!$A$7:$D$892,2,0))</f>
        <v/>
      </c>
      <c r="E50" s="225" t="n">
        <f aca="false">IF(D50="",0,VLOOKUP(D50,D$22:D49,1,0))</f>
        <v>0</v>
      </c>
      <c r="F50" s="232" t="n">
        <f aca="false">($B50*$B$7+$C50*$C$7)/100</f>
        <v>0</v>
      </c>
      <c r="G50" s="227" t="str">
        <f aca="false">IF(A50="","",IF(ISERROR(VLOOKUP($A50,'[1]liste reference'!$A$7:$P$892,13,0)),IF(ISERROR(VLOOKUP($A50,'[1]liste reference'!$B$7:$P$892,12,0)),"    -",VLOOKUP($A50,'[1]liste reference'!$B$7:$P$892,12,0)),VLOOKUP($A50,'[1]liste reference'!$A$7:$P$892,13,0)))</f>
        <v/>
      </c>
      <c r="H50" s="209" t="str">
        <f aca="false">IF(A50="","x",IF(ISERROR(VLOOKUP($A50,'[1]liste reference'!$A$7:$P$892,14,0)),IF(ISERROR(VLOOKUP($A50,'[1]liste reference'!$B$7:$P$892,13,0)),"x",VLOOKUP($A50,'[1]liste reference'!$B$7:$P$892,13,0)),VLOOKUP($A50,'[1]liste reference'!$A$7:$P$892,14,0)))</f>
        <v>x</v>
      </c>
      <c r="I50" s="228" t="str">
        <f aca="false">IF(ISNUMBER(H50),IF(ISERROR(VLOOKUP($A50,'[1]liste reference'!$A$7:$P$892,3,0)),IF(ISERROR(VLOOKUP($A50,'[1]liste reference'!$B$7:$P$892,2,0)),"",VLOOKUP($A50,'[1]liste reference'!$B$7:$P$892,2,0)),VLOOKUP($A50,'[1]liste reference'!$A$7:$P$892,3,0)),"")</f>
        <v/>
      </c>
      <c r="J50" s="211" t="str">
        <f aca="false">IF(ISNUMBER(H50),IF(ISERROR(VLOOKUP($A50,'[1]liste reference'!$A$7:$P$892,4,0)),IF(ISERROR(VLOOKUP($A50,'[1]liste reference'!$B$7:$P$892,3,0)),"",VLOOKUP($A50,'[1]liste reference'!$B$7:$P$892,3,0)),VLOOKUP($A50,'[1]liste reference'!$A$7:$P$892,4,0)),"")</f>
        <v/>
      </c>
      <c r="K50" s="212" t="str">
        <f aca="false">IF(A50="NEWCOD",IF(AB50="","Remplir le champs 'Nouveau taxa' svp.",$AB50),IF(ISTEXT($E50),"DEJA SAISI !",IF(A50="","",IF(ISERROR(VLOOKUP($A50,'[1]liste reference'!$A$7:$D$892,2,0)),IF(ISERROR(VLOOKUP($A50,'[1]liste reference'!$B$7:$D$892,1,0)),"code non répertorié ou synonyme",VLOOKUP($A50,'[1]liste reference'!$B$7:$D$892,1,0)),VLOOKUP(A50,'[1]liste reference'!$A$7:$D$892,2,0)))))</f>
        <v/>
      </c>
      <c r="L50" s="229"/>
      <c r="M50" s="229"/>
      <c r="N50" s="229"/>
      <c r="O50" s="214" t="str">
        <f aca="false">IF(AA50="Cf.","Cf.","")</f>
        <v/>
      </c>
      <c r="P50" s="214" t="str">
        <f aca="false">IF($A50="NEWCOD",IF($AC50="","No",$AC50),IF(ISTEXT($E50),"DEJA SAISI !",IF($A50="","",IF(ISERROR(VLOOKUP($A50,'[1]liste reference'!A$1:S$1048576,19,FALSE())),IF(ISERROR(VLOOKUP($A50,'[1]liste reference'!B$1:S$1048576,19,FALSE())),"",VLOOKUP($A50,'[1]liste reference'!B$1:S$1048576,19,FALSE())),VLOOKUP($A50,'[1]liste reference'!A$1:S$1048576,19,FALSE())))))</f>
        <v/>
      </c>
      <c r="Q50" s="215" t="str">
        <f aca="false">IF(ISTEXT(H50),"",(B50*$B$7/100)+(C50*$C$7/100))</f>
        <v/>
      </c>
      <c r="R50" s="216" t="str">
        <f aca="false">IF(OR(ISTEXT(H50),Q50=0),"",IF(Q50&lt;0.1,1,IF(Q50&lt;1,2,IF(Q50&lt;10,3,IF(Q50&lt;50,4,IF(Q50&gt;=50,5,""))))))</f>
        <v/>
      </c>
      <c r="S50" s="216" t="n">
        <f aca="false">IF(ISERROR(R50*I50),0,R50*I50)</f>
        <v>0</v>
      </c>
      <c r="T50" s="216" t="n">
        <f aca="false">IF(ISERROR(R50*I50*J50),0,R50*I50*J50)</f>
        <v>0</v>
      </c>
      <c r="U50" s="230" t="n">
        <f aca="false">IF(ISERROR(R50*J50),0,R50*J50)</f>
        <v>0</v>
      </c>
      <c r="V50" s="217" t="n">
        <v>0</v>
      </c>
      <c r="W50" s="218"/>
      <c r="Y50" s="219" t="str">
        <f aca="false">IF(A50="new.cod","NEWCOD",IF(AND((Z50=""),ISTEXT(A50)),A50,IF(Z50="","",INDEX('[1]liste reference'!$A$7:$A$892,Z50))))</f>
        <v/>
      </c>
      <c r="Z50" s="10" t="str">
        <f aca="false">IF(ISERROR(MATCH(A50,'[1]liste reference'!$A$7:$A$892,0)),IF(ISERROR(MATCH(A50,'[1]liste reference'!$B$7:$B$892,0)),"",(MATCH(A50,'[1]liste reference'!$B$7:$B$892,0))),(MATCH(A50,'[1]liste reference'!$A$7:$A$892,0)))</f>
        <v/>
      </c>
      <c r="AA50" s="220"/>
      <c r="AB50" s="221"/>
      <c r="AC50" s="221"/>
      <c r="BC50" s="10" t="str">
        <f aca="false">IF(A50="","",1)</f>
        <v/>
      </c>
    </row>
    <row r="51" customFormat="false" ht="12.75" hidden="false" customHeight="false" outlineLevel="0" collapsed="false">
      <c r="A51" s="222"/>
      <c r="B51" s="223"/>
      <c r="C51" s="224"/>
      <c r="D51" s="225" t="str">
        <f aca="false">IF(ISERROR(VLOOKUP($A51,'[1]liste reference'!$A$7:$D$892,2,0)),IF(ISERROR(VLOOKUP($A51,'[1]liste reference'!$B$7:$D$892,1,0)),"",VLOOKUP($A51,'[1]liste reference'!$B$7:$D$892,1,0)),VLOOKUP($A51,'[1]liste reference'!$A$7:$D$892,2,0))</f>
        <v/>
      </c>
      <c r="E51" s="225" t="n">
        <f aca="false">IF(D51="",0,VLOOKUP(D51,D$22:D50,1,0))</f>
        <v>0</v>
      </c>
      <c r="F51" s="232" t="n">
        <f aca="false">($B51*$B$7+$C51*$C$7)/100</f>
        <v>0</v>
      </c>
      <c r="G51" s="227" t="str">
        <f aca="false">IF(A51="","",IF(ISERROR(VLOOKUP($A51,'[1]liste reference'!$A$7:$P$892,13,0)),IF(ISERROR(VLOOKUP($A51,'[1]liste reference'!$B$7:$P$892,12,0)),"    -",VLOOKUP($A51,'[1]liste reference'!$B$7:$P$892,12,0)),VLOOKUP($A51,'[1]liste reference'!$A$7:$P$892,13,0)))</f>
        <v/>
      </c>
      <c r="H51" s="209" t="str">
        <f aca="false">IF(A51="","x",IF(ISERROR(VLOOKUP($A51,'[1]liste reference'!$A$7:$P$892,14,0)),IF(ISERROR(VLOOKUP($A51,'[1]liste reference'!$B$7:$P$892,13,0)),"x",VLOOKUP($A51,'[1]liste reference'!$B$7:$P$892,13,0)),VLOOKUP($A51,'[1]liste reference'!$A$7:$P$892,14,0)))</f>
        <v>x</v>
      </c>
      <c r="I51" s="228" t="str">
        <f aca="false">IF(ISNUMBER(H51),IF(ISERROR(VLOOKUP($A51,'[1]liste reference'!$A$7:$P$892,3,0)),IF(ISERROR(VLOOKUP($A51,'[1]liste reference'!$B$7:$P$892,2,0)),"",VLOOKUP($A51,'[1]liste reference'!$B$7:$P$892,2,0)),VLOOKUP($A51,'[1]liste reference'!$A$7:$P$892,3,0)),"")</f>
        <v/>
      </c>
      <c r="J51" s="211" t="str">
        <f aca="false">IF(ISNUMBER(H51),IF(ISERROR(VLOOKUP($A51,'[1]liste reference'!$A$7:$P$892,4,0)),IF(ISERROR(VLOOKUP($A51,'[1]liste reference'!$B$7:$P$892,3,0)),"",VLOOKUP($A51,'[1]liste reference'!$B$7:$P$892,3,0)),VLOOKUP($A51,'[1]liste reference'!$A$7:$P$892,4,0)),"")</f>
        <v/>
      </c>
      <c r="K51" s="212" t="str">
        <f aca="false">IF(A51="NEWCOD",IF(AB51="","Remplir le champs 'Nouveau taxa' svp.",$AB51),IF(ISTEXT($E51),"DEJA SAISI !",IF(A51="","",IF(ISERROR(VLOOKUP($A51,'[1]liste reference'!$A$7:$D$892,2,0)),IF(ISERROR(VLOOKUP($A51,'[1]liste reference'!$B$7:$D$892,1,0)),"code non répertorié ou synonyme",VLOOKUP($A51,'[1]liste reference'!$B$7:$D$892,1,0)),VLOOKUP(A51,'[1]liste reference'!$A$7:$D$892,2,0)))))</f>
        <v/>
      </c>
      <c r="L51" s="229"/>
      <c r="M51" s="229"/>
      <c r="N51" s="229"/>
      <c r="O51" s="214" t="str">
        <f aca="false">IF(AA51="Cf.","Cf.","")</f>
        <v/>
      </c>
      <c r="P51" s="214" t="str">
        <f aca="false">IF($A51="NEWCOD",IF($AC51="","No",$AC51),IF(ISTEXT($E51),"DEJA SAISI !",IF($A51="","",IF(ISERROR(VLOOKUP($A51,'[1]liste reference'!A$1:S$1048576,19,FALSE())),IF(ISERROR(VLOOKUP($A51,'[1]liste reference'!B$1:S$1048576,19,FALSE())),"",VLOOKUP($A51,'[1]liste reference'!B$1:S$1048576,19,FALSE())),VLOOKUP($A51,'[1]liste reference'!A$1:S$1048576,19,FALSE())))))</f>
        <v/>
      </c>
      <c r="Q51" s="215" t="str">
        <f aca="false">IF(ISTEXT(H51),"",(B51*$B$7/100)+(C51*$C$7/100))</f>
        <v/>
      </c>
      <c r="R51" s="216" t="str">
        <f aca="false">IF(OR(ISTEXT(H51),Q51=0),"",IF(Q51&lt;0.1,1,IF(Q51&lt;1,2,IF(Q51&lt;10,3,IF(Q51&lt;50,4,IF(Q51&gt;=50,5,""))))))</f>
        <v/>
      </c>
      <c r="S51" s="216" t="n">
        <f aca="false">IF(ISERROR(R51*I51),0,R51*I51)</f>
        <v>0</v>
      </c>
      <c r="T51" s="216" t="n">
        <f aca="false">IF(ISERROR(R51*I51*J51),0,R51*I51*J51)</f>
        <v>0</v>
      </c>
      <c r="U51" s="230" t="n">
        <f aca="false">IF(ISERROR(R51*J51),0,R51*J51)</f>
        <v>0</v>
      </c>
      <c r="V51" s="217" t="n">
        <v>0</v>
      </c>
      <c r="W51" s="218"/>
      <c r="Y51" s="219" t="str">
        <f aca="false">IF(A51="new.cod","NEWCOD",IF(AND((Z51=""),ISTEXT(A51)),A51,IF(Z51="","",INDEX('[1]liste reference'!$A$7:$A$892,Z51))))</f>
        <v/>
      </c>
      <c r="Z51" s="10" t="str">
        <f aca="false">IF(ISERROR(MATCH(A51,'[1]liste reference'!$A$7:$A$892,0)),IF(ISERROR(MATCH(A51,'[1]liste reference'!$B$7:$B$892,0)),"",(MATCH(A51,'[1]liste reference'!$B$7:$B$892,0))),(MATCH(A51,'[1]liste reference'!$A$7:$A$892,0)))</f>
        <v/>
      </c>
      <c r="AA51" s="220"/>
      <c r="AB51" s="221"/>
      <c r="AC51" s="221"/>
      <c r="BC51" s="10" t="str">
        <f aca="false">IF(A51="","",1)</f>
        <v/>
      </c>
    </row>
    <row r="52" customFormat="false" ht="12.75" hidden="false" customHeight="false" outlineLevel="0" collapsed="false">
      <c r="A52" s="222"/>
      <c r="B52" s="223"/>
      <c r="C52" s="224"/>
      <c r="D52" s="225" t="str">
        <f aca="false">IF(ISERROR(VLOOKUP($A52,'[1]liste reference'!$A$7:$D$892,2,0)),IF(ISERROR(VLOOKUP($A52,'[1]liste reference'!$B$7:$D$892,1,0)),"",VLOOKUP($A52,'[1]liste reference'!$B$7:$D$892,1,0)),VLOOKUP($A52,'[1]liste reference'!$A$7:$D$892,2,0))</f>
        <v/>
      </c>
      <c r="E52" s="225" t="n">
        <f aca="false">IF(D52="",0,VLOOKUP(D52,D$22:D51,1,0))</f>
        <v>0</v>
      </c>
      <c r="F52" s="232" t="n">
        <f aca="false">($B52*$B$7+$C52*$C$7)/100</f>
        <v>0</v>
      </c>
      <c r="G52" s="227" t="str">
        <f aca="false">IF(A52="","",IF(ISERROR(VLOOKUP($A52,'[1]liste reference'!$A$7:$P$892,13,0)),IF(ISERROR(VLOOKUP($A52,'[1]liste reference'!$B$7:$P$892,12,0)),"    -",VLOOKUP($A52,'[1]liste reference'!$B$7:$P$892,12,0)),VLOOKUP($A52,'[1]liste reference'!$A$7:$P$892,13,0)))</f>
        <v/>
      </c>
      <c r="H52" s="209" t="str">
        <f aca="false">IF(A52="","x",IF(ISERROR(VLOOKUP($A52,'[1]liste reference'!$A$7:$P$892,14,0)),IF(ISERROR(VLOOKUP($A52,'[1]liste reference'!$B$7:$P$892,13,0)),"x",VLOOKUP($A52,'[1]liste reference'!$B$7:$P$892,13,0)),VLOOKUP($A52,'[1]liste reference'!$A$7:$P$892,14,0)))</f>
        <v>x</v>
      </c>
      <c r="I52" s="228" t="str">
        <f aca="false">IF(ISNUMBER(H52),IF(ISERROR(VLOOKUP($A52,'[1]liste reference'!$A$7:$P$892,3,0)),IF(ISERROR(VLOOKUP($A52,'[1]liste reference'!$B$7:$P$892,2,0)),"",VLOOKUP($A52,'[1]liste reference'!$B$7:$P$892,2,0)),VLOOKUP($A52,'[1]liste reference'!$A$7:$P$892,3,0)),"")</f>
        <v/>
      </c>
      <c r="J52" s="211" t="str">
        <f aca="false">IF(ISNUMBER(H52),IF(ISERROR(VLOOKUP($A52,'[1]liste reference'!$A$7:$P$892,4,0)),IF(ISERROR(VLOOKUP($A52,'[1]liste reference'!$B$7:$P$892,3,0)),"",VLOOKUP($A52,'[1]liste reference'!$B$7:$P$892,3,0)),VLOOKUP($A52,'[1]liste reference'!$A$7:$P$892,4,0)),"")</f>
        <v/>
      </c>
      <c r="K52" s="212" t="str">
        <f aca="false">IF(A52="NEWCOD",IF(AB52="","Remplir le champs 'Nouveau taxa' svp.",$AB52),IF(ISTEXT($E52),"DEJA SAISI !",IF(A52="","",IF(ISERROR(VLOOKUP($A52,'[1]liste reference'!$A$7:$D$892,2,0)),IF(ISERROR(VLOOKUP($A52,'[1]liste reference'!$B$7:$D$892,1,0)),"code non répertorié ou synonyme",VLOOKUP($A52,'[1]liste reference'!$B$7:$D$892,1,0)),VLOOKUP(A52,'[1]liste reference'!$A$7:$D$892,2,0)))))</f>
        <v/>
      </c>
      <c r="L52" s="229"/>
      <c r="M52" s="229"/>
      <c r="N52" s="229"/>
      <c r="O52" s="214" t="str">
        <f aca="false">IF(AA52="Cf.","Cf.","")</f>
        <v/>
      </c>
      <c r="P52" s="214" t="str">
        <f aca="false">IF($A52="NEWCOD",IF($AC52="","No",$AC52),IF(ISTEXT($E52),"DEJA SAISI !",IF($A52="","",IF(ISERROR(VLOOKUP($A52,'[1]liste reference'!A$1:S$1048576,19,FALSE())),IF(ISERROR(VLOOKUP($A52,'[1]liste reference'!B$1:S$1048576,19,FALSE())),"",VLOOKUP($A52,'[1]liste reference'!B$1:S$1048576,19,FALSE())),VLOOKUP($A52,'[1]liste reference'!A$1:S$1048576,19,FALSE())))))</f>
        <v/>
      </c>
      <c r="Q52" s="215" t="str">
        <f aca="false">IF(ISTEXT(H52),"",(B52*$B$7/100)+(C52*$C$7/100))</f>
        <v/>
      </c>
      <c r="R52" s="216" t="str">
        <f aca="false">IF(OR(ISTEXT(H52),Q52=0),"",IF(Q52&lt;0.1,1,IF(Q52&lt;1,2,IF(Q52&lt;10,3,IF(Q52&lt;50,4,IF(Q52&gt;=50,5,""))))))</f>
        <v/>
      </c>
      <c r="S52" s="216" t="n">
        <f aca="false">IF(ISERROR(R52*I52),0,R52*I52)</f>
        <v>0</v>
      </c>
      <c r="T52" s="216" t="n">
        <f aca="false">IF(ISERROR(R52*I52*J52),0,R52*I52*J52)</f>
        <v>0</v>
      </c>
      <c r="U52" s="230" t="n">
        <f aca="false">IF(ISERROR(R52*J52),0,R52*J52)</f>
        <v>0</v>
      </c>
      <c r="V52" s="217" t="n">
        <v>0</v>
      </c>
      <c r="W52" s="218"/>
      <c r="Y52" s="219" t="str">
        <f aca="false">IF(A52="new.cod","NEWCOD",IF(AND((Z52=""),ISTEXT(A52)),A52,IF(Z52="","",INDEX('[1]liste reference'!$A$7:$A$892,Z52))))</f>
        <v/>
      </c>
      <c r="Z52" s="10" t="str">
        <f aca="false">IF(ISERROR(MATCH(A52,'[1]liste reference'!$A$7:$A$892,0)),IF(ISERROR(MATCH(A52,'[1]liste reference'!$B$7:$B$892,0)),"",(MATCH(A52,'[1]liste reference'!$B$7:$B$892,0))),(MATCH(A52,'[1]liste reference'!$A$7:$A$892,0)))</f>
        <v/>
      </c>
      <c r="AA52" s="220"/>
      <c r="AB52" s="221"/>
      <c r="AC52" s="221"/>
      <c r="BC52" s="10" t="str">
        <f aca="false">IF(A52="","",1)</f>
        <v/>
      </c>
    </row>
    <row r="53" customFormat="false" ht="12.75" hidden="false" customHeight="false" outlineLevel="0" collapsed="false">
      <c r="A53" s="222"/>
      <c r="B53" s="223"/>
      <c r="C53" s="224"/>
      <c r="D53" s="225" t="str">
        <f aca="false">IF(ISERROR(VLOOKUP($A53,'[1]liste reference'!$A$7:$D$892,2,0)),IF(ISERROR(VLOOKUP($A53,'[1]liste reference'!$B$7:$D$892,1,0)),"",VLOOKUP($A53,'[1]liste reference'!$B$7:$D$892,1,0)),VLOOKUP($A53,'[1]liste reference'!$A$7:$D$892,2,0))</f>
        <v/>
      </c>
      <c r="E53" s="225" t="n">
        <f aca="false">IF(D53="",0,VLOOKUP(D53,D$22:D52,1,0))</f>
        <v>0</v>
      </c>
      <c r="F53" s="232" t="n">
        <f aca="false">($B53*$B$7+$C53*$C$7)/100</f>
        <v>0</v>
      </c>
      <c r="G53" s="227" t="str">
        <f aca="false">IF(A53="","",IF(ISERROR(VLOOKUP($A53,'[1]liste reference'!$A$7:$P$892,13,0)),IF(ISERROR(VLOOKUP($A53,'[1]liste reference'!$B$7:$P$892,12,0)),"    -",VLOOKUP($A53,'[1]liste reference'!$B$7:$P$892,12,0)),VLOOKUP($A53,'[1]liste reference'!$A$7:$P$892,13,0)))</f>
        <v/>
      </c>
      <c r="H53" s="209" t="str">
        <f aca="false">IF(A53="","x",IF(ISERROR(VLOOKUP($A53,'[1]liste reference'!$A$7:$P$892,14,0)),IF(ISERROR(VLOOKUP($A53,'[1]liste reference'!$B$7:$P$892,13,0)),"x",VLOOKUP($A53,'[1]liste reference'!$B$7:$P$892,13,0)),VLOOKUP($A53,'[1]liste reference'!$A$7:$P$892,14,0)))</f>
        <v>x</v>
      </c>
      <c r="I53" s="228" t="str">
        <f aca="false">IF(ISNUMBER(H53),IF(ISERROR(VLOOKUP($A53,'[1]liste reference'!$A$7:$P$892,3,0)),IF(ISERROR(VLOOKUP($A53,'[1]liste reference'!$B$7:$P$892,2,0)),"",VLOOKUP($A53,'[1]liste reference'!$B$7:$P$892,2,0)),VLOOKUP($A53,'[1]liste reference'!$A$7:$P$892,3,0)),"")</f>
        <v/>
      </c>
      <c r="J53" s="211" t="str">
        <f aca="false">IF(ISNUMBER(H53),IF(ISERROR(VLOOKUP($A53,'[1]liste reference'!$A$7:$P$892,4,0)),IF(ISERROR(VLOOKUP($A53,'[1]liste reference'!$B$7:$P$892,3,0)),"",VLOOKUP($A53,'[1]liste reference'!$B$7:$P$892,3,0)),VLOOKUP($A53,'[1]liste reference'!$A$7:$P$892,4,0)),"")</f>
        <v/>
      </c>
      <c r="K53" s="212" t="str">
        <f aca="false">IF(A53="NEWCOD",IF(AB53="","Remplir le champs 'Nouveau taxa' svp.",$AB53),IF(ISTEXT($E53),"DEJA SAISI !",IF(A53="","",IF(ISERROR(VLOOKUP($A53,'[1]liste reference'!$A$7:$D$892,2,0)),IF(ISERROR(VLOOKUP($A53,'[1]liste reference'!$B$7:$D$892,1,0)),"code non répertorié ou synonyme",VLOOKUP($A53,'[1]liste reference'!$B$7:$D$892,1,0)),VLOOKUP(A53,'[1]liste reference'!$A$7:$D$892,2,0)))))</f>
        <v/>
      </c>
      <c r="L53" s="229"/>
      <c r="M53" s="229"/>
      <c r="N53" s="229"/>
      <c r="O53" s="214" t="str">
        <f aca="false">IF(AA53="Cf.","Cf.","")</f>
        <v/>
      </c>
      <c r="P53" s="214" t="str">
        <f aca="false">IF($A53="NEWCOD",IF($AC53="","No",$AC53),IF(ISTEXT($E53),"DEJA SAISI !",IF($A53="","",IF(ISERROR(VLOOKUP($A53,'[1]liste reference'!A$1:S$1048576,19,FALSE())),IF(ISERROR(VLOOKUP($A53,'[1]liste reference'!B$1:S$1048576,19,FALSE())),"",VLOOKUP($A53,'[1]liste reference'!B$1:S$1048576,19,FALSE())),VLOOKUP($A53,'[1]liste reference'!A$1:S$1048576,19,FALSE())))))</f>
        <v/>
      </c>
      <c r="Q53" s="215" t="str">
        <f aca="false">IF(ISTEXT(H53),"",(B53*$B$7/100)+(C53*$C$7/100))</f>
        <v/>
      </c>
      <c r="R53" s="216" t="str">
        <f aca="false">IF(OR(ISTEXT(H53),Q53=0),"",IF(Q53&lt;0.1,1,IF(Q53&lt;1,2,IF(Q53&lt;10,3,IF(Q53&lt;50,4,IF(Q53&gt;=50,5,""))))))</f>
        <v/>
      </c>
      <c r="S53" s="216" t="n">
        <f aca="false">IF(ISERROR(R53*I53),0,R53*I53)</f>
        <v>0</v>
      </c>
      <c r="T53" s="216" t="n">
        <f aca="false">IF(ISERROR(R53*I53*J53),0,R53*I53*J53)</f>
        <v>0</v>
      </c>
      <c r="U53" s="230" t="n">
        <f aca="false">IF(ISERROR(R53*J53),0,R53*J53)</f>
        <v>0</v>
      </c>
      <c r="V53" s="217" t="n">
        <v>0</v>
      </c>
      <c r="W53" s="218"/>
      <c r="Y53" s="219" t="str">
        <f aca="false">IF(A53="new.cod","NEWCOD",IF(AND((Z53=""),ISTEXT(A53)),A53,IF(Z53="","",INDEX('[1]liste reference'!$A$7:$A$892,Z53))))</f>
        <v/>
      </c>
      <c r="Z53" s="10" t="str">
        <f aca="false">IF(ISERROR(MATCH(A53,'[1]liste reference'!$A$7:$A$892,0)),IF(ISERROR(MATCH(A53,'[1]liste reference'!$B$7:$B$892,0)),"",(MATCH(A53,'[1]liste reference'!$B$7:$B$892,0))),(MATCH(A53,'[1]liste reference'!$A$7:$A$892,0)))</f>
        <v/>
      </c>
      <c r="AA53" s="220"/>
      <c r="AB53" s="221"/>
      <c r="AC53" s="221"/>
      <c r="BC53" s="10" t="str">
        <f aca="false">IF(A53="","",1)</f>
        <v/>
      </c>
    </row>
    <row r="54" customFormat="false" ht="12.75" hidden="false" customHeight="false" outlineLevel="0" collapsed="false">
      <c r="A54" s="222"/>
      <c r="B54" s="223"/>
      <c r="C54" s="224"/>
      <c r="D54" s="225" t="str">
        <f aca="false">IF(ISERROR(VLOOKUP($A54,'[1]liste reference'!$A$7:$D$892,2,0)),IF(ISERROR(VLOOKUP($A54,'[1]liste reference'!$B$7:$D$892,1,0)),"",VLOOKUP($A54,'[1]liste reference'!$B$7:$D$892,1,0)),VLOOKUP($A54,'[1]liste reference'!$A$7:$D$892,2,0))</f>
        <v/>
      </c>
      <c r="E54" s="225" t="n">
        <f aca="false">IF(D54="",0,VLOOKUP(D54,D$22:D53,1,0))</f>
        <v>0</v>
      </c>
      <c r="F54" s="232" t="n">
        <f aca="false">($B54*$B$7+$C54*$C$7)/100</f>
        <v>0</v>
      </c>
      <c r="G54" s="227" t="str">
        <f aca="false">IF(A54="","",IF(ISERROR(VLOOKUP($A54,'[1]liste reference'!$A$7:$P$892,13,0)),IF(ISERROR(VLOOKUP($A54,'[1]liste reference'!$B$7:$P$892,12,0)),"    -",VLOOKUP($A54,'[1]liste reference'!$B$7:$P$892,12,0)),VLOOKUP($A54,'[1]liste reference'!$A$7:$P$892,13,0)))</f>
        <v/>
      </c>
      <c r="H54" s="209" t="str">
        <f aca="false">IF(A54="","x",IF(ISERROR(VLOOKUP($A54,'[1]liste reference'!$A$7:$P$892,14,0)),IF(ISERROR(VLOOKUP($A54,'[1]liste reference'!$B$7:$P$892,13,0)),"x",VLOOKUP($A54,'[1]liste reference'!$B$7:$P$892,13,0)),VLOOKUP($A54,'[1]liste reference'!$A$7:$P$892,14,0)))</f>
        <v>x</v>
      </c>
      <c r="I54" s="228" t="str">
        <f aca="false">IF(ISNUMBER(H54),IF(ISERROR(VLOOKUP($A54,'[1]liste reference'!$A$7:$P$892,3,0)),IF(ISERROR(VLOOKUP($A54,'[1]liste reference'!$B$7:$P$892,2,0)),"",VLOOKUP($A54,'[1]liste reference'!$B$7:$P$892,2,0)),VLOOKUP($A54,'[1]liste reference'!$A$7:$P$892,3,0)),"")</f>
        <v/>
      </c>
      <c r="J54" s="211" t="str">
        <f aca="false">IF(ISNUMBER(H54),IF(ISERROR(VLOOKUP($A54,'[1]liste reference'!$A$7:$P$892,4,0)),IF(ISERROR(VLOOKUP($A54,'[1]liste reference'!$B$7:$P$892,3,0)),"",VLOOKUP($A54,'[1]liste reference'!$B$7:$P$892,3,0)),VLOOKUP($A54,'[1]liste reference'!$A$7:$P$892,4,0)),"")</f>
        <v/>
      </c>
      <c r="K54" s="212" t="str">
        <f aca="false">IF(A54="NEWCOD",IF(AB54="","Remplir le champs 'Nouveau taxa' svp.",$AB54),IF(ISTEXT($E54),"DEJA SAISI !",IF(A54="","",IF(ISERROR(VLOOKUP($A54,'[1]liste reference'!$A$7:$D$892,2,0)),IF(ISERROR(VLOOKUP($A54,'[1]liste reference'!$B$7:$D$892,1,0)),"code non répertorié ou synonyme",VLOOKUP($A54,'[1]liste reference'!$B$7:$D$892,1,0)),VLOOKUP(A54,'[1]liste reference'!$A$7:$D$892,2,0)))))</f>
        <v/>
      </c>
      <c r="L54" s="229"/>
      <c r="M54" s="229"/>
      <c r="N54" s="229"/>
      <c r="O54" s="214" t="str">
        <f aca="false">IF(AA54="Cf.","Cf.","")</f>
        <v/>
      </c>
      <c r="P54" s="214" t="str">
        <f aca="false">IF($A54="NEWCOD",IF($AC54="","No",$AC54),IF(ISTEXT($E54),"DEJA SAISI !",IF($A54="","",IF(ISERROR(VLOOKUP($A54,'[1]liste reference'!A$1:S$1048576,19,FALSE())),IF(ISERROR(VLOOKUP($A54,'[1]liste reference'!B$1:S$1048576,19,FALSE())),"",VLOOKUP($A54,'[1]liste reference'!B$1:S$1048576,19,FALSE())),VLOOKUP($A54,'[1]liste reference'!A$1:S$1048576,19,FALSE())))))</f>
        <v/>
      </c>
      <c r="Q54" s="215" t="str">
        <f aca="false">IF(ISTEXT(H54),"",(B54*$B$7/100)+(C54*$C$7/100))</f>
        <v/>
      </c>
      <c r="R54" s="216" t="str">
        <f aca="false">IF(OR(ISTEXT(H54),Q54=0),"",IF(Q54&lt;0.1,1,IF(Q54&lt;1,2,IF(Q54&lt;10,3,IF(Q54&lt;50,4,IF(Q54&gt;=50,5,""))))))</f>
        <v/>
      </c>
      <c r="S54" s="216" t="n">
        <f aca="false">IF(ISERROR(R54*I54),0,R54*I54)</f>
        <v>0</v>
      </c>
      <c r="T54" s="216" t="n">
        <f aca="false">IF(ISERROR(R54*I54*J54),0,R54*I54*J54)</f>
        <v>0</v>
      </c>
      <c r="U54" s="230" t="n">
        <f aca="false">IF(ISERROR(R54*J54),0,R54*J54)</f>
        <v>0</v>
      </c>
      <c r="V54" s="217" t="n">
        <v>0</v>
      </c>
      <c r="W54" s="218"/>
      <c r="Y54" s="219" t="str">
        <f aca="false">IF(A54="new.cod","NEWCOD",IF(AND((Z54=""),ISTEXT(A54)),A54,IF(Z54="","",INDEX('[1]liste reference'!$A$7:$A$892,Z54))))</f>
        <v/>
      </c>
      <c r="Z54" s="10" t="str">
        <f aca="false">IF(ISERROR(MATCH(A54,'[1]liste reference'!$A$7:$A$892,0)),IF(ISERROR(MATCH(A54,'[1]liste reference'!$B$7:$B$892,0)),"",(MATCH(A54,'[1]liste reference'!$B$7:$B$892,0))),(MATCH(A54,'[1]liste reference'!$A$7:$A$892,0)))</f>
        <v/>
      </c>
      <c r="AA54" s="220"/>
      <c r="AB54" s="221"/>
      <c r="AC54" s="221"/>
      <c r="BC54" s="10" t="str">
        <f aca="false">IF(A54="","",1)</f>
        <v/>
      </c>
    </row>
    <row r="55" customFormat="false" ht="12.75" hidden="false" customHeight="false" outlineLevel="0" collapsed="false">
      <c r="A55" s="222"/>
      <c r="B55" s="223"/>
      <c r="C55" s="224"/>
      <c r="D55" s="225" t="str">
        <f aca="false">IF(ISERROR(VLOOKUP($A55,'[1]liste reference'!$A$7:$D$892,2,0)),IF(ISERROR(VLOOKUP($A55,'[1]liste reference'!$B$7:$D$892,1,0)),"",VLOOKUP($A55,'[1]liste reference'!$B$7:$D$892,1,0)),VLOOKUP($A55,'[1]liste reference'!$A$7:$D$892,2,0))</f>
        <v/>
      </c>
      <c r="E55" s="225" t="n">
        <f aca="false">IF(D55="",0,VLOOKUP(D55,D$22:D54,1,0))</f>
        <v>0</v>
      </c>
      <c r="F55" s="232" t="n">
        <f aca="false">($B55*$B$7+$C55*$C$7)/100</f>
        <v>0</v>
      </c>
      <c r="G55" s="227" t="str">
        <f aca="false">IF(A55="","",IF(ISERROR(VLOOKUP($A55,'[1]liste reference'!$A$7:$P$892,13,0)),IF(ISERROR(VLOOKUP($A55,'[1]liste reference'!$B$7:$P$892,12,0)),"    -",VLOOKUP($A55,'[1]liste reference'!$B$7:$P$892,12,0)),VLOOKUP($A55,'[1]liste reference'!$A$7:$P$892,13,0)))</f>
        <v/>
      </c>
      <c r="H55" s="209" t="str">
        <f aca="false">IF(A55="","x",IF(ISERROR(VLOOKUP($A55,'[1]liste reference'!$A$7:$P$892,14,0)),IF(ISERROR(VLOOKUP($A55,'[1]liste reference'!$B$7:$P$892,13,0)),"x",VLOOKUP($A55,'[1]liste reference'!$B$7:$P$892,13,0)),VLOOKUP($A55,'[1]liste reference'!$A$7:$P$892,14,0)))</f>
        <v>x</v>
      </c>
      <c r="I55" s="228" t="str">
        <f aca="false">IF(ISNUMBER(H55),IF(ISERROR(VLOOKUP($A55,'[1]liste reference'!$A$7:$P$892,3,0)),IF(ISERROR(VLOOKUP($A55,'[1]liste reference'!$B$7:$P$892,2,0)),"",VLOOKUP($A55,'[1]liste reference'!$B$7:$P$892,2,0)),VLOOKUP($A55,'[1]liste reference'!$A$7:$P$892,3,0)),"")</f>
        <v/>
      </c>
      <c r="J55" s="211" t="str">
        <f aca="false">IF(ISNUMBER(H55),IF(ISERROR(VLOOKUP($A55,'[1]liste reference'!$A$7:$P$892,4,0)),IF(ISERROR(VLOOKUP($A55,'[1]liste reference'!$B$7:$P$892,3,0)),"",VLOOKUP($A55,'[1]liste reference'!$B$7:$P$892,3,0)),VLOOKUP($A55,'[1]liste reference'!$A$7:$P$892,4,0)),"")</f>
        <v/>
      </c>
      <c r="K55" s="212" t="str">
        <f aca="false">IF(A55="NEWCOD",IF(AB55="","Remplir le champs 'Nouveau taxa' svp.",$AB55),IF(ISTEXT($E55),"DEJA SAISI !",IF(A55="","",IF(ISERROR(VLOOKUP($A55,'[1]liste reference'!$A$7:$D$892,2,0)),IF(ISERROR(VLOOKUP($A55,'[1]liste reference'!$B$7:$D$892,1,0)),"code non répertorié ou synonyme",VLOOKUP($A55,'[1]liste reference'!$B$7:$D$892,1,0)),VLOOKUP(A55,'[1]liste reference'!$A$7:$D$892,2,0)))))</f>
        <v/>
      </c>
      <c r="L55" s="229"/>
      <c r="M55" s="229"/>
      <c r="N55" s="229"/>
      <c r="O55" s="214" t="str">
        <f aca="false">IF(AA55="Cf.","Cf.","")</f>
        <v/>
      </c>
      <c r="P55" s="214" t="str">
        <f aca="false">IF($A55="NEWCOD",IF($AC55="","No",$AC55),IF(ISTEXT($E55),"DEJA SAISI !",IF($A55="","",IF(ISERROR(VLOOKUP($A55,'[1]liste reference'!A$1:S$1048576,19,FALSE())),IF(ISERROR(VLOOKUP($A55,'[1]liste reference'!B$1:S$1048576,19,FALSE())),"",VLOOKUP($A55,'[1]liste reference'!B$1:S$1048576,19,FALSE())),VLOOKUP($A55,'[1]liste reference'!A$1:S$1048576,19,FALSE())))))</f>
        <v/>
      </c>
      <c r="Q55" s="215" t="str">
        <f aca="false">IF(ISTEXT(H55),"",(B55*$B$7/100)+(C55*$C$7/100))</f>
        <v/>
      </c>
      <c r="R55" s="216" t="str">
        <f aca="false">IF(OR(ISTEXT(H55),Q55=0),"",IF(Q55&lt;0.1,1,IF(Q55&lt;1,2,IF(Q55&lt;10,3,IF(Q55&lt;50,4,IF(Q55&gt;=50,5,""))))))</f>
        <v/>
      </c>
      <c r="S55" s="216" t="n">
        <f aca="false">IF(ISERROR(R55*I55),0,R55*I55)</f>
        <v>0</v>
      </c>
      <c r="T55" s="216" t="n">
        <f aca="false">IF(ISERROR(R55*I55*J55),0,R55*I55*J55)</f>
        <v>0</v>
      </c>
      <c r="U55" s="230" t="n">
        <f aca="false">IF(ISERROR(R55*J55),0,R55*J55)</f>
        <v>0</v>
      </c>
      <c r="V55" s="217" t="n">
        <v>0</v>
      </c>
      <c r="W55" s="218"/>
      <c r="Y55" s="219" t="str">
        <f aca="false">IF(A55="new.cod","NEWCOD",IF(AND((Z55=""),ISTEXT(A55)),A55,IF(Z55="","",INDEX('[1]liste reference'!$A$7:$A$892,Z55))))</f>
        <v/>
      </c>
      <c r="Z55" s="10" t="str">
        <f aca="false">IF(ISERROR(MATCH(A55,'[1]liste reference'!$A$7:$A$892,0)),IF(ISERROR(MATCH(A55,'[1]liste reference'!$B$7:$B$892,0)),"",(MATCH(A55,'[1]liste reference'!$B$7:$B$892,0))),(MATCH(A55,'[1]liste reference'!$A$7:$A$892,0)))</f>
        <v/>
      </c>
      <c r="AA55" s="220"/>
      <c r="AB55" s="221"/>
      <c r="AC55" s="221"/>
      <c r="BC55" s="10" t="str">
        <f aca="false">IF(A55="","",1)</f>
        <v/>
      </c>
    </row>
    <row r="56" customFormat="false" ht="12.75" hidden="false" customHeight="false" outlineLevel="0" collapsed="false">
      <c r="A56" s="222"/>
      <c r="B56" s="223"/>
      <c r="C56" s="224"/>
      <c r="D56" s="225" t="str">
        <f aca="false">IF(ISERROR(VLOOKUP($A56,'[1]liste reference'!$A$7:$D$892,2,0)),IF(ISERROR(VLOOKUP($A56,'[1]liste reference'!$B$7:$D$892,1,0)),"",VLOOKUP($A56,'[1]liste reference'!$B$7:$D$892,1,0)),VLOOKUP($A56,'[1]liste reference'!$A$7:$D$892,2,0))</f>
        <v/>
      </c>
      <c r="E56" s="225" t="n">
        <f aca="false">IF(D56="",0,VLOOKUP(D56,D$22:D55,1,0))</f>
        <v>0</v>
      </c>
      <c r="F56" s="232" t="n">
        <f aca="false">($B56*$B$7+$C56*$C$7)/100</f>
        <v>0</v>
      </c>
      <c r="G56" s="227" t="str">
        <f aca="false">IF(A56="","",IF(ISERROR(VLOOKUP($A56,'[1]liste reference'!$A$7:$P$892,13,0)),IF(ISERROR(VLOOKUP($A56,'[1]liste reference'!$B$7:$P$892,12,0)),"    -",VLOOKUP($A56,'[1]liste reference'!$B$7:$P$892,12,0)),VLOOKUP($A56,'[1]liste reference'!$A$7:$P$892,13,0)))</f>
        <v/>
      </c>
      <c r="H56" s="209" t="str">
        <f aca="false">IF(A56="","x",IF(ISERROR(VLOOKUP($A56,'[1]liste reference'!$A$7:$P$892,14,0)),IF(ISERROR(VLOOKUP($A56,'[1]liste reference'!$B$7:$P$892,13,0)),"x",VLOOKUP($A56,'[1]liste reference'!$B$7:$P$892,13,0)),VLOOKUP($A56,'[1]liste reference'!$A$7:$P$892,14,0)))</f>
        <v>x</v>
      </c>
      <c r="I56" s="228" t="str">
        <f aca="false">IF(ISNUMBER(H56),IF(ISERROR(VLOOKUP($A56,'[1]liste reference'!$A$7:$P$892,3,0)),IF(ISERROR(VLOOKUP($A56,'[1]liste reference'!$B$7:$P$892,2,0)),"",VLOOKUP($A56,'[1]liste reference'!$B$7:$P$892,2,0)),VLOOKUP($A56,'[1]liste reference'!$A$7:$P$892,3,0)),"")</f>
        <v/>
      </c>
      <c r="J56" s="211" t="str">
        <f aca="false">IF(ISNUMBER(H56),IF(ISERROR(VLOOKUP($A56,'[1]liste reference'!$A$7:$P$892,4,0)),IF(ISERROR(VLOOKUP($A56,'[1]liste reference'!$B$7:$P$892,3,0)),"",VLOOKUP($A56,'[1]liste reference'!$B$7:$P$892,3,0)),VLOOKUP($A56,'[1]liste reference'!$A$7:$P$892,4,0)),"")</f>
        <v/>
      </c>
      <c r="K56" s="212" t="str">
        <f aca="false">IF(A56="NEWCOD",IF(AB56="","Remplir le champs 'Nouveau taxa' svp.",$AB56),IF(ISTEXT($E56),"DEJA SAISI !",IF(A56="","",IF(ISERROR(VLOOKUP($A56,'[1]liste reference'!$A$7:$D$892,2,0)),IF(ISERROR(VLOOKUP($A56,'[1]liste reference'!$B$7:$D$892,1,0)),"code non répertorié ou synonyme",VLOOKUP($A56,'[1]liste reference'!$B$7:$D$892,1,0)),VLOOKUP(A56,'[1]liste reference'!$A$7:$D$892,2,0)))))</f>
        <v/>
      </c>
      <c r="L56" s="229"/>
      <c r="M56" s="229"/>
      <c r="N56" s="229"/>
      <c r="O56" s="214" t="str">
        <f aca="false">IF(AA56="Cf.","Cf.","")</f>
        <v/>
      </c>
      <c r="P56" s="214" t="str">
        <f aca="false">IF($A56="NEWCOD",IF($AC56="","No",$AC56),IF(ISTEXT($E56),"DEJA SAISI !",IF($A56="","",IF(ISERROR(VLOOKUP($A56,'[1]liste reference'!A$1:S$1048576,19,FALSE())),IF(ISERROR(VLOOKUP($A56,'[1]liste reference'!B$1:S$1048576,19,FALSE())),"",VLOOKUP($A56,'[1]liste reference'!B$1:S$1048576,19,FALSE())),VLOOKUP($A56,'[1]liste reference'!A$1:S$1048576,19,FALSE())))))</f>
        <v/>
      </c>
      <c r="Q56" s="215" t="str">
        <f aca="false">IF(ISTEXT(H56),"",(B56*$B$7/100)+(C56*$C$7/100))</f>
        <v/>
      </c>
      <c r="R56" s="216" t="str">
        <f aca="false">IF(OR(ISTEXT(H56),Q56=0),"",IF(Q56&lt;0.1,1,IF(Q56&lt;1,2,IF(Q56&lt;10,3,IF(Q56&lt;50,4,IF(Q56&gt;=50,5,""))))))</f>
        <v/>
      </c>
      <c r="S56" s="216" t="n">
        <f aca="false">IF(ISERROR(R56*I56),0,R56*I56)</f>
        <v>0</v>
      </c>
      <c r="T56" s="216" t="n">
        <f aca="false">IF(ISERROR(R56*I56*J56),0,R56*I56*J56)</f>
        <v>0</v>
      </c>
      <c r="U56" s="230" t="n">
        <f aca="false">IF(ISERROR(R56*J56),0,R56*J56)</f>
        <v>0</v>
      </c>
      <c r="V56" s="217" t="n">
        <v>0</v>
      </c>
      <c r="W56" s="218"/>
      <c r="Y56" s="219" t="str">
        <f aca="false">IF(A56="new.cod","NEWCOD",IF(AND((Z56=""),ISTEXT(A56)),A56,IF(Z56="","",INDEX('[1]liste reference'!$A$7:$A$892,Z56))))</f>
        <v/>
      </c>
      <c r="Z56" s="10" t="str">
        <f aca="false">IF(ISERROR(MATCH(A56,'[1]liste reference'!$A$7:$A$892,0)),IF(ISERROR(MATCH(A56,'[1]liste reference'!$B$7:$B$892,0)),"",(MATCH(A56,'[1]liste reference'!$B$7:$B$892,0))),(MATCH(A56,'[1]liste reference'!$A$7:$A$892,0)))</f>
        <v/>
      </c>
      <c r="AA56" s="220"/>
      <c r="AB56" s="221"/>
      <c r="AC56" s="221"/>
      <c r="BC56" s="10" t="str">
        <f aca="false">IF(A56="","",1)</f>
        <v/>
      </c>
    </row>
    <row r="57" customFormat="false" ht="12.75" hidden="false" customHeight="false" outlineLevel="0" collapsed="false">
      <c r="A57" s="222"/>
      <c r="B57" s="223"/>
      <c r="C57" s="224"/>
      <c r="D57" s="225" t="str">
        <f aca="false">IF(ISERROR(VLOOKUP($A57,'[1]liste reference'!$A$7:$D$892,2,0)),IF(ISERROR(VLOOKUP($A57,'[1]liste reference'!$B$7:$D$892,1,0)),"",VLOOKUP($A57,'[1]liste reference'!$B$7:$D$892,1,0)),VLOOKUP($A57,'[1]liste reference'!$A$7:$D$892,2,0))</f>
        <v/>
      </c>
      <c r="E57" s="225" t="n">
        <f aca="false">IF(D57="",0,VLOOKUP(D57,D$21:D56,1,0))</f>
        <v>0</v>
      </c>
      <c r="F57" s="232" t="n">
        <f aca="false">($B57*$B$7+$C57*$C$7)/100</f>
        <v>0</v>
      </c>
      <c r="G57" s="227" t="str">
        <f aca="false">IF(A57="","",IF(ISERROR(VLOOKUP($A57,'[1]liste reference'!$A$7:$P$892,13,0)),IF(ISERROR(VLOOKUP($A57,'[1]liste reference'!$B$7:$P$892,12,0)),"    -",VLOOKUP($A57,'[1]liste reference'!$B$7:$P$892,12,0)),VLOOKUP($A57,'[1]liste reference'!$A$7:$P$892,13,0)))</f>
        <v/>
      </c>
      <c r="H57" s="209" t="str">
        <f aca="false">IF(A57="","x",IF(ISERROR(VLOOKUP($A57,'[1]liste reference'!$A$7:$P$892,14,0)),IF(ISERROR(VLOOKUP($A57,'[1]liste reference'!$B$7:$P$892,13,0)),"x",VLOOKUP($A57,'[1]liste reference'!$B$7:$P$892,13,0)),VLOOKUP($A57,'[1]liste reference'!$A$7:$P$892,14,0)))</f>
        <v>x</v>
      </c>
      <c r="I57" s="228" t="str">
        <f aca="false">IF(ISNUMBER(H57),IF(ISERROR(VLOOKUP($A57,'[1]liste reference'!$A$7:$P$892,3,0)),IF(ISERROR(VLOOKUP($A57,'[1]liste reference'!$B$7:$P$892,2,0)),"",VLOOKUP($A57,'[1]liste reference'!$B$7:$P$892,2,0)),VLOOKUP($A57,'[1]liste reference'!$A$7:$P$892,3,0)),"")</f>
        <v/>
      </c>
      <c r="J57" s="211" t="str">
        <f aca="false">IF(ISNUMBER(H57),IF(ISERROR(VLOOKUP($A57,'[1]liste reference'!$A$7:$P$892,4,0)),IF(ISERROR(VLOOKUP($A57,'[1]liste reference'!$B$7:$P$892,3,0)),"",VLOOKUP($A57,'[1]liste reference'!$B$7:$P$892,3,0)),VLOOKUP($A57,'[1]liste reference'!$A$7:$P$892,4,0)),"")</f>
        <v/>
      </c>
      <c r="K57" s="212" t="str">
        <f aca="false">IF(A57="NEWCOD",IF(AB57="","Remplir le champs 'Nouveau taxa' svp.",$AB57),IF(ISTEXT($E57),"DEJA SAISI !",IF(A57="","",IF(ISERROR(VLOOKUP($A57,'[1]liste reference'!$A$7:$D$892,2,0)),IF(ISERROR(VLOOKUP($A57,'[1]liste reference'!$B$7:$D$892,1,0)),"code non répertorié ou synonyme",VLOOKUP($A57,'[1]liste reference'!$B$7:$D$892,1,0)),VLOOKUP(A57,'[1]liste reference'!$A$7:$D$892,2,0)))))</f>
        <v/>
      </c>
      <c r="L57" s="229"/>
      <c r="M57" s="229"/>
      <c r="N57" s="229"/>
      <c r="O57" s="214" t="str">
        <f aca="false">IF(AA57="Cf.","Cf.","")</f>
        <v/>
      </c>
      <c r="P57" s="214" t="str">
        <f aca="false">IF($A57="NEWCOD",IF($AC57="","No",$AC57),IF(ISTEXT($E57),"DEJA SAISI !",IF($A57="","",IF(ISERROR(VLOOKUP($A57,'[1]liste reference'!A$1:S$1048576,19,FALSE())),IF(ISERROR(VLOOKUP($A57,'[1]liste reference'!B$1:S$1048576,19,FALSE())),"",VLOOKUP($A57,'[1]liste reference'!B$1:S$1048576,19,FALSE())),VLOOKUP($A57,'[1]liste reference'!A$1:S$1048576,19,FALSE())))))</f>
        <v/>
      </c>
      <c r="Q57" s="215" t="str">
        <f aca="false">IF(ISTEXT(H57),"",(B57*$B$7/100)+(C57*$C$7/100))</f>
        <v/>
      </c>
      <c r="R57" s="216" t="str">
        <f aca="false">IF(OR(ISTEXT(H57),Q57=0),"",IF(Q57&lt;0.1,1,IF(Q57&lt;1,2,IF(Q57&lt;10,3,IF(Q57&lt;50,4,IF(Q57&gt;=50,5,""))))))</f>
        <v/>
      </c>
      <c r="S57" s="216" t="n">
        <f aca="false">IF(ISERROR(R57*I57),0,R57*I57)</f>
        <v>0</v>
      </c>
      <c r="T57" s="216" t="n">
        <f aca="false">IF(ISERROR(R57*I57*J57),0,R57*I57*J57)</f>
        <v>0</v>
      </c>
      <c r="U57" s="230" t="n">
        <f aca="false">IF(ISERROR(R57*J57),0,R57*J57)</f>
        <v>0</v>
      </c>
      <c r="V57" s="217" t="n">
        <v>0</v>
      </c>
      <c r="W57" s="218"/>
      <c r="X57" s="233"/>
      <c r="Y57" s="219" t="str">
        <f aca="false">IF(A57="new.cod","NEWCOD",IF(AND((Z57=""),ISTEXT(A57)),A57,IF(Z57="","",INDEX('[1]liste reference'!$A$7:$A$892,Z57))))</f>
        <v/>
      </c>
      <c r="Z57" s="10" t="str">
        <f aca="false">IF(ISERROR(MATCH(A57,'[1]liste reference'!$A$7:$A$892,0)),IF(ISERROR(MATCH(A57,'[1]liste reference'!$B$7:$B$892,0)),"",(MATCH(A57,'[1]liste reference'!$B$7:$B$892,0))),(MATCH(A57,'[1]liste reference'!$A$7:$A$892,0)))</f>
        <v/>
      </c>
      <c r="AA57" s="220"/>
      <c r="AB57" s="221"/>
      <c r="AC57" s="221"/>
      <c r="BC57" s="10" t="str">
        <f aca="false">IF(A57="","",1)</f>
        <v/>
      </c>
    </row>
    <row r="58" customFormat="false" ht="12.75" hidden="false" customHeight="false" outlineLevel="0" collapsed="false">
      <c r="A58" s="222"/>
      <c r="B58" s="223"/>
      <c r="C58" s="224"/>
      <c r="D58" s="225" t="str">
        <f aca="false">IF(ISERROR(VLOOKUP($A58,'[1]liste reference'!$A$7:$D$892,2,0)),IF(ISERROR(VLOOKUP($A58,'[1]liste reference'!$B$7:$D$892,1,0)),"",VLOOKUP($A58,'[1]liste reference'!$B$7:$D$892,1,0)),VLOOKUP($A58,'[1]liste reference'!$A$7:$D$892,2,0))</f>
        <v/>
      </c>
      <c r="E58" s="225" t="n">
        <f aca="false">IF(D58="",0,VLOOKUP(D58,D$22:D57,1,0))</f>
        <v>0</v>
      </c>
      <c r="F58" s="232" t="n">
        <f aca="false">($B58*$B$7+$C58*$C$7)/100</f>
        <v>0</v>
      </c>
      <c r="G58" s="227" t="str">
        <f aca="false">IF(A58="","",IF(ISERROR(VLOOKUP($A58,'[1]liste reference'!$A$7:$P$892,13,0)),IF(ISERROR(VLOOKUP($A58,'[1]liste reference'!$B$7:$P$892,12,0)),"    -",VLOOKUP($A58,'[1]liste reference'!$B$7:$P$892,12,0)),VLOOKUP($A58,'[1]liste reference'!$A$7:$P$892,13,0)))</f>
        <v/>
      </c>
      <c r="H58" s="209" t="str">
        <f aca="false">IF(A58="","x",IF(ISERROR(VLOOKUP($A58,'[1]liste reference'!$A$7:$P$892,14,0)),IF(ISERROR(VLOOKUP($A58,'[1]liste reference'!$B$7:$P$892,13,0)),"x",VLOOKUP($A58,'[1]liste reference'!$B$7:$P$892,13,0)),VLOOKUP($A58,'[1]liste reference'!$A$7:$P$892,14,0)))</f>
        <v>x</v>
      </c>
      <c r="I58" s="228" t="str">
        <f aca="false">IF(ISNUMBER(H58),IF(ISERROR(VLOOKUP($A58,'[1]liste reference'!$A$7:$P$892,3,0)),IF(ISERROR(VLOOKUP($A58,'[1]liste reference'!$B$7:$P$892,2,0)),"",VLOOKUP($A58,'[1]liste reference'!$B$7:$P$892,2,0)),VLOOKUP($A58,'[1]liste reference'!$A$7:$P$892,3,0)),"")</f>
        <v/>
      </c>
      <c r="J58" s="211" t="str">
        <f aca="false">IF(ISNUMBER(H58),IF(ISERROR(VLOOKUP($A58,'[1]liste reference'!$A$7:$P$892,4,0)),IF(ISERROR(VLOOKUP($A58,'[1]liste reference'!$B$7:$P$892,3,0)),"",VLOOKUP($A58,'[1]liste reference'!$B$7:$P$892,3,0)),VLOOKUP($A58,'[1]liste reference'!$A$7:$P$892,4,0)),"")</f>
        <v/>
      </c>
      <c r="K58" s="212" t="str">
        <f aca="false">IF(A58="NEWCOD",IF(AB58="","Remplir le champs 'Nouveau taxa' svp.",$AB58),IF(ISTEXT($E58),"DEJA SAISI !",IF(A58="","",IF(ISERROR(VLOOKUP($A58,'[1]liste reference'!$A$7:$D$892,2,0)),IF(ISERROR(VLOOKUP($A58,'[1]liste reference'!$B$7:$D$892,1,0)),"code non répertorié ou synonyme",VLOOKUP($A58,'[1]liste reference'!$B$7:$D$892,1,0)),VLOOKUP(A58,'[1]liste reference'!$A$7:$D$892,2,0)))))</f>
        <v/>
      </c>
      <c r="L58" s="229"/>
      <c r="M58" s="229"/>
      <c r="N58" s="229"/>
      <c r="O58" s="214" t="str">
        <f aca="false">IF(AA58="Cf.","Cf.","")</f>
        <v/>
      </c>
      <c r="P58" s="214" t="str">
        <f aca="false">IF($A58="NEWCOD",IF($AC58="","No",$AC58),IF(ISTEXT($E58),"DEJA SAISI !",IF($A58="","",IF(ISERROR(VLOOKUP($A58,'[1]liste reference'!A$1:S$1048576,19,FALSE())),IF(ISERROR(VLOOKUP($A58,'[1]liste reference'!B$1:S$1048576,19,FALSE())),"",VLOOKUP($A58,'[1]liste reference'!B$1:S$1048576,19,FALSE())),VLOOKUP($A58,'[1]liste reference'!A$1:S$1048576,19,FALSE())))))</f>
        <v/>
      </c>
      <c r="Q58" s="215" t="str">
        <f aca="false">IF(ISTEXT(H58),"",(B58*$B$7/100)+(C58*$C$7/100))</f>
        <v/>
      </c>
      <c r="R58" s="216" t="str">
        <f aca="false">IF(OR(ISTEXT(H58),Q58=0),"",IF(Q58&lt;0.1,1,IF(Q58&lt;1,2,IF(Q58&lt;10,3,IF(Q58&lt;50,4,IF(Q58&gt;=50,5,""))))))</f>
        <v/>
      </c>
      <c r="S58" s="216" t="n">
        <f aca="false">IF(ISERROR(R58*I58),0,R58*I58)</f>
        <v>0</v>
      </c>
      <c r="T58" s="216" t="n">
        <f aca="false">IF(ISERROR(R58*I58*J58),0,R58*I58*J58)</f>
        <v>0</v>
      </c>
      <c r="U58" s="230" t="n">
        <f aca="false">IF(ISERROR(R58*J58),0,R58*J58)</f>
        <v>0</v>
      </c>
      <c r="V58" s="217" t="n">
        <v>0</v>
      </c>
      <c r="W58" s="218"/>
      <c r="Y58" s="219" t="str">
        <f aca="false">IF(A58="new.cod","NEWCOD",IF(AND((Z58=""),ISTEXT(A58)),A58,IF(Z58="","",INDEX('[1]liste reference'!$A$7:$A$892,Z58))))</f>
        <v/>
      </c>
      <c r="Z58" s="10" t="str">
        <f aca="false">IF(ISERROR(MATCH(A58,'[1]liste reference'!$A$7:$A$892,0)),IF(ISERROR(MATCH(A58,'[1]liste reference'!$B$7:$B$892,0)),"",(MATCH(A58,'[1]liste reference'!$B$7:$B$892,0))),(MATCH(A58,'[1]liste reference'!$A$7:$A$892,0)))</f>
        <v/>
      </c>
      <c r="AA58" s="220"/>
      <c r="AB58" s="221"/>
      <c r="AC58" s="221"/>
      <c r="BC58" s="10" t="str">
        <f aca="false">IF(A58="","",1)</f>
        <v/>
      </c>
    </row>
    <row r="59" customFormat="false" ht="12.75" hidden="false" customHeight="false" outlineLevel="0" collapsed="false">
      <c r="A59" s="222"/>
      <c r="B59" s="223"/>
      <c r="C59" s="224"/>
      <c r="D59" s="225" t="str">
        <f aca="false">IF(ISERROR(VLOOKUP($A59,'[1]liste reference'!$A$7:$D$892,2,0)),IF(ISERROR(VLOOKUP($A59,'[1]liste reference'!$B$7:$D$892,1,0)),"",VLOOKUP($A59,'[1]liste reference'!$B$7:$D$892,1,0)),VLOOKUP($A59,'[1]liste reference'!$A$7:$D$892,2,0))</f>
        <v/>
      </c>
      <c r="E59" s="225" t="n">
        <f aca="false">IF(D59="",0,VLOOKUP(D59,D$22:D58,1,0))</f>
        <v>0</v>
      </c>
      <c r="F59" s="232" t="n">
        <f aca="false">($B59*$B$7+$C59*$C$7)/100</f>
        <v>0</v>
      </c>
      <c r="G59" s="227" t="str">
        <f aca="false">IF(A59="","",IF(ISERROR(VLOOKUP($A59,'[1]liste reference'!$A$7:$P$892,13,0)),IF(ISERROR(VLOOKUP($A59,'[1]liste reference'!$B$7:$P$892,12,0)),"    -",VLOOKUP($A59,'[1]liste reference'!$B$7:$P$892,12,0)),VLOOKUP($A59,'[1]liste reference'!$A$7:$P$892,13,0)))</f>
        <v/>
      </c>
      <c r="H59" s="209" t="str">
        <f aca="false">IF(A59="","x",IF(ISERROR(VLOOKUP($A59,'[1]liste reference'!$A$7:$P$892,14,0)),IF(ISERROR(VLOOKUP($A59,'[1]liste reference'!$B$7:$P$892,13,0)),"x",VLOOKUP($A59,'[1]liste reference'!$B$7:$P$892,13,0)),VLOOKUP($A59,'[1]liste reference'!$A$7:$P$892,14,0)))</f>
        <v>x</v>
      </c>
      <c r="I59" s="228" t="str">
        <f aca="false">IF(ISNUMBER(H59),IF(ISERROR(VLOOKUP($A59,'[1]liste reference'!$A$7:$P$892,3,0)),IF(ISERROR(VLOOKUP($A59,'[1]liste reference'!$B$7:$P$892,2,0)),"",VLOOKUP($A59,'[1]liste reference'!$B$7:$P$892,2,0)),VLOOKUP($A59,'[1]liste reference'!$A$7:$P$892,3,0)),"")</f>
        <v/>
      </c>
      <c r="J59" s="211" t="str">
        <f aca="false">IF(ISNUMBER(H59),IF(ISERROR(VLOOKUP($A59,'[1]liste reference'!$A$7:$P$892,4,0)),IF(ISERROR(VLOOKUP($A59,'[1]liste reference'!$B$7:$P$892,3,0)),"",VLOOKUP($A59,'[1]liste reference'!$B$7:$P$892,3,0)),VLOOKUP($A59,'[1]liste reference'!$A$7:$P$892,4,0)),"")</f>
        <v/>
      </c>
      <c r="K59" s="212" t="str">
        <f aca="false">IF(A59="NEWCOD",IF(AB59="","Remplir le champs 'Nouveau taxa' svp.",$AB59),IF(ISTEXT($E59),"DEJA SAISI !",IF(A59="","",IF(ISERROR(VLOOKUP($A59,'[1]liste reference'!$A$7:$D$892,2,0)),IF(ISERROR(VLOOKUP($A59,'[1]liste reference'!$B$7:$D$892,1,0)),"code non répertorié ou synonyme",VLOOKUP($A59,'[1]liste reference'!$B$7:$D$892,1,0)),VLOOKUP(A59,'[1]liste reference'!$A$7:$D$892,2,0)))))</f>
        <v/>
      </c>
      <c r="L59" s="234"/>
      <c r="M59" s="234"/>
      <c r="N59" s="234"/>
      <c r="O59" s="214" t="str">
        <f aca="false">IF(AA59="Cf.","Cf.","")</f>
        <v/>
      </c>
      <c r="P59" s="235" t="str">
        <f aca="false">IF($A59="NEWCOD",IF($AC59="","No",$AC59),IF(ISTEXT($E59),"DEJA SAISI !",IF($A59="","",IF(ISERROR(VLOOKUP($A59,'[1]liste reference'!A$1:S$1048576,19,FALSE())),IF(ISERROR(VLOOKUP($A59,'[1]liste reference'!B$1:S$1048576,19,FALSE())),"",VLOOKUP($A59,'[1]liste reference'!B$1:S$1048576,19,FALSE())),VLOOKUP($A59,'[1]liste reference'!A$1:S$1048576,19,FALSE())))))</f>
        <v/>
      </c>
      <c r="Q59" s="215" t="str">
        <f aca="false">IF(ISTEXT(H59),"",(B59*$B$7/100)+(C59*$C$7/100))</f>
        <v/>
      </c>
      <c r="R59" s="216" t="str">
        <f aca="false">IF(OR(ISTEXT(H59),Q59=0),"",IF(Q59&lt;0.1,1,IF(Q59&lt;1,2,IF(Q59&lt;10,3,IF(Q59&lt;50,4,IF(Q59&gt;=50,5,""))))))</f>
        <v/>
      </c>
      <c r="S59" s="216" t="n">
        <f aca="false">IF(ISERROR(R59*I59),0,R59*I59)</f>
        <v>0</v>
      </c>
      <c r="T59" s="216" t="n">
        <f aca="false">IF(ISERROR(R59*I59*J59),0,R59*I59*J59)</f>
        <v>0</v>
      </c>
      <c r="U59" s="230" t="n">
        <f aca="false">IF(ISERROR(R59*J59),0,R59*J59)</f>
        <v>0</v>
      </c>
      <c r="V59" s="217" t="n">
        <v>0</v>
      </c>
      <c r="W59" s="218"/>
      <c r="Y59" s="219" t="str">
        <f aca="false">IF(A59="new.cod","NEWCOD",IF(AND((Z59=""),ISTEXT(A59)),A59,IF(Z59="","",INDEX('[1]liste reference'!$A$7:$A$892,Z59))))</f>
        <v/>
      </c>
      <c r="Z59" s="10" t="str">
        <f aca="false">IF(ISERROR(MATCH(A59,'[1]liste reference'!$A$7:$A$892,0)),IF(ISERROR(MATCH(A59,'[1]liste reference'!$B$7:$B$892,0)),"",(MATCH(A59,'[1]liste reference'!$B$7:$B$892,0))),(MATCH(A59,'[1]liste reference'!$A$7:$A$892,0)))</f>
        <v/>
      </c>
      <c r="AA59" s="220"/>
      <c r="AB59" s="221"/>
      <c r="AC59" s="221"/>
      <c r="BC59" s="10" t="str">
        <f aca="false">IF(A59="","",1)</f>
        <v/>
      </c>
    </row>
    <row r="60" customFormat="false" ht="12.75" hidden="false" customHeight="false" outlineLevel="0" collapsed="false">
      <c r="A60" s="222"/>
      <c r="B60" s="223"/>
      <c r="C60" s="224"/>
      <c r="D60" s="225" t="str">
        <f aca="false">IF(ISERROR(VLOOKUP($A60,'[1]liste reference'!$A$7:$D$892,2,0)),IF(ISERROR(VLOOKUP($A60,'[1]liste reference'!$B$7:$D$892,1,0)),"",VLOOKUP($A60,'[1]liste reference'!$B$7:$D$892,1,0)),VLOOKUP($A60,'[1]liste reference'!$A$7:$D$892,2,0))</f>
        <v/>
      </c>
      <c r="E60" s="225" t="n">
        <f aca="false">IF(D60="",0,VLOOKUP(D60,D$22:D59,1,0))</f>
        <v>0</v>
      </c>
      <c r="F60" s="232" t="n">
        <f aca="false">($B60*$B$7+$C60*$C$7)/100</f>
        <v>0</v>
      </c>
      <c r="G60" s="227" t="str">
        <f aca="false">IF(A60="","",IF(ISERROR(VLOOKUP($A60,'[1]liste reference'!$A$7:$P$892,13,0)),IF(ISERROR(VLOOKUP($A60,'[1]liste reference'!$B$7:$P$892,12,0)),"    -",VLOOKUP($A60,'[1]liste reference'!$B$7:$P$892,12,0)),VLOOKUP($A60,'[1]liste reference'!$A$7:$P$892,13,0)))</f>
        <v/>
      </c>
      <c r="H60" s="209" t="str">
        <f aca="false">IF(A60="","x",IF(ISERROR(VLOOKUP($A60,'[1]liste reference'!$A$7:$P$892,14,0)),IF(ISERROR(VLOOKUP($A60,'[1]liste reference'!$B$7:$P$892,13,0)),"x",VLOOKUP($A60,'[1]liste reference'!$B$7:$P$892,13,0)),VLOOKUP($A60,'[1]liste reference'!$A$7:$P$892,14,0)))</f>
        <v>x</v>
      </c>
      <c r="I60" s="228" t="str">
        <f aca="false">IF(ISNUMBER(H60),IF(ISERROR(VLOOKUP($A60,'[1]liste reference'!$A$7:$P$892,3,0)),IF(ISERROR(VLOOKUP($A60,'[1]liste reference'!$B$7:$P$892,2,0)),"",VLOOKUP($A60,'[1]liste reference'!$B$7:$P$892,2,0)),VLOOKUP($A60,'[1]liste reference'!$A$7:$P$892,3,0)),"")</f>
        <v/>
      </c>
      <c r="J60" s="211" t="str">
        <f aca="false">IF(ISNUMBER(H60),IF(ISERROR(VLOOKUP($A60,'[1]liste reference'!$A$7:$P$892,4,0)),IF(ISERROR(VLOOKUP($A60,'[1]liste reference'!$B$7:$P$892,3,0)),"",VLOOKUP($A60,'[1]liste reference'!$B$7:$P$892,3,0)),VLOOKUP($A60,'[1]liste reference'!$A$7:$P$892,4,0)),"")</f>
        <v/>
      </c>
      <c r="K60" s="212" t="str">
        <f aca="false">IF(A60="NEWCOD",IF(AB60="","Remplir le champs 'Nouveau taxa' svp.",$AB60),IF(ISTEXT($E60),"DEJA SAISI !",IF(A60="","",IF(ISERROR(VLOOKUP($A60,'[1]liste reference'!$A$7:$D$892,2,0)),IF(ISERROR(VLOOKUP($A60,'[1]liste reference'!$B$7:$D$892,1,0)),"code non répertorié ou synonyme",VLOOKUP($A60,'[1]liste reference'!$B$7:$D$892,1,0)),VLOOKUP(A60,'[1]liste reference'!$A$7:$D$892,2,0)))))</f>
        <v/>
      </c>
      <c r="L60" s="234"/>
      <c r="M60" s="234"/>
      <c r="N60" s="234"/>
      <c r="O60" s="214" t="str">
        <f aca="false">IF(AA60="Cf.","Cf.","")</f>
        <v/>
      </c>
      <c r="P60" s="235" t="str">
        <f aca="false">IF($A60="NEWCOD",IF($AC60="","No",$AC60),IF(ISTEXT($E60),"DEJA SAISI !",IF($A60="","",IF(ISERROR(VLOOKUP($A60,'[1]liste reference'!A$1:S$1048576,19,FALSE())),IF(ISERROR(VLOOKUP($A60,'[1]liste reference'!B$1:S$1048576,19,FALSE())),"",VLOOKUP($A60,'[1]liste reference'!B$1:S$1048576,19,FALSE())),VLOOKUP($A60,'[1]liste reference'!A$1:S$1048576,19,FALSE())))))</f>
        <v/>
      </c>
      <c r="Q60" s="215" t="str">
        <f aca="false">IF(ISTEXT(H60),"",(B60*$B$7/100)+(C60*$C$7/100))</f>
        <v/>
      </c>
      <c r="R60" s="216" t="str">
        <f aca="false">IF(OR(ISTEXT(H60),Q60=0),"",IF(Q60&lt;0.1,1,IF(Q60&lt;1,2,IF(Q60&lt;10,3,IF(Q60&lt;50,4,IF(Q60&gt;=50,5,""))))))</f>
        <v/>
      </c>
      <c r="S60" s="216" t="n">
        <f aca="false">IF(ISERROR(R60*I60),0,R60*I60)</f>
        <v>0</v>
      </c>
      <c r="T60" s="216" t="n">
        <f aca="false">IF(ISERROR(R60*I60*J60),0,R60*I60*J60)</f>
        <v>0</v>
      </c>
      <c r="U60" s="230" t="n">
        <f aca="false">IF(ISERROR(R60*J60),0,R60*J60)</f>
        <v>0</v>
      </c>
      <c r="V60" s="217" t="n">
        <v>0</v>
      </c>
      <c r="W60" s="218"/>
      <c r="Y60" s="219" t="str">
        <f aca="false">IF(A60="new.cod","NEWCOD",IF(AND((Z60=""),ISTEXT(A60)),A60,IF(Z60="","",INDEX('[1]liste reference'!$A$7:$A$892,Z60))))</f>
        <v/>
      </c>
      <c r="Z60" s="10" t="str">
        <f aca="false">IF(ISERROR(MATCH(A60,'[1]liste reference'!$A$7:$A$892,0)),IF(ISERROR(MATCH(A60,'[1]liste reference'!$B$7:$B$892,0)),"",(MATCH(A60,'[1]liste reference'!$B$7:$B$892,0))),(MATCH(A60,'[1]liste reference'!$A$7:$A$892,0)))</f>
        <v/>
      </c>
      <c r="AA60" s="220"/>
      <c r="AB60" s="221"/>
      <c r="AC60" s="221"/>
      <c r="BC60" s="10" t="str">
        <f aca="false">IF(A60="","",1)</f>
        <v/>
      </c>
    </row>
    <row r="61" customFormat="false" ht="12.75" hidden="false" customHeight="false" outlineLevel="0" collapsed="false">
      <c r="A61" s="222"/>
      <c r="B61" s="223"/>
      <c r="C61" s="224"/>
      <c r="D61" s="225" t="str">
        <f aca="false">IF(ISERROR(VLOOKUP($A61,'[1]liste reference'!$A$7:$D$892,2,0)),IF(ISERROR(VLOOKUP($A61,'[1]liste reference'!$B$7:$D$892,1,0)),"",VLOOKUP($A61,'[1]liste reference'!$B$7:$D$892,1,0)),VLOOKUP($A61,'[1]liste reference'!$A$7:$D$892,2,0))</f>
        <v/>
      </c>
      <c r="E61" s="225" t="n">
        <f aca="false">IF(D61="",0,VLOOKUP(D61,D$22:D60,1,0))</f>
        <v>0</v>
      </c>
      <c r="F61" s="232" t="n">
        <f aca="false">($B61*$B$7+$C61*$C$7)/100</f>
        <v>0</v>
      </c>
      <c r="G61" s="227" t="str">
        <f aca="false">IF(A61="","",IF(ISERROR(VLOOKUP($A61,'[1]liste reference'!$A$7:$P$892,13,0)),IF(ISERROR(VLOOKUP($A61,'[1]liste reference'!$B$7:$P$892,12,0)),"    -",VLOOKUP($A61,'[1]liste reference'!$B$7:$P$892,12,0)),VLOOKUP($A61,'[1]liste reference'!$A$7:$P$892,13,0)))</f>
        <v/>
      </c>
      <c r="H61" s="209" t="str">
        <f aca="false">IF(A61="","x",IF(ISERROR(VLOOKUP($A61,'[1]liste reference'!$A$7:$P$892,14,0)),IF(ISERROR(VLOOKUP($A61,'[1]liste reference'!$B$7:$P$892,13,0)),"x",VLOOKUP($A61,'[1]liste reference'!$B$7:$P$892,13,0)),VLOOKUP($A61,'[1]liste reference'!$A$7:$P$892,14,0)))</f>
        <v>x</v>
      </c>
      <c r="I61" s="228" t="str">
        <f aca="false">IF(ISNUMBER(H61),IF(ISERROR(VLOOKUP($A61,'[1]liste reference'!$A$7:$P$892,3,0)),IF(ISERROR(VLOOKUP($A61,'[1]liste reference'!$B$7:$P$892,2,0)),"",VLOOKUP($A61,'[1]liste reference'!$B$7:$P$892,2,0)),VLOOKUP($A61,'[1]liste reference'!$A$7:$P$892,3,0)),"")</f>
        <v/>
      </c>
      <c r="J61" s="211" t="str">
        <f aca="false">IF(ISNUMBER(H61),IF(ISERROR(VLOOKUP($A61,'[1]liste reference'!$A$7:$P$892,4,0)),IF(ISERROR(VLOOKUP($A61,'[1]liste reference'!$B$7:$P$892,3,0)),"",VLOOKUP($A61,'[1]liste reference'!$B$7:$P$892,3,0)),VLOOKUP($A61,'[1]liste reference'!$A$7:$P$892,4,0)),"")</f>
        <v/>
      </c>
      <c r="K61" s="212" t="str">
        <f aca="false">IF(A61="NEWCOD",IF(AB61="","Remplir le champs 'Nouveau taxa' svp.",$AB61),IF(ISTEXT($E61),"DEJA SAISI !",IF(A61="","",IF(ISERROR(VLOOKUP($A61,'[1]liste reference'!$A$7:$D$892,2,0)),IF(ISERROR(VLOOKUP($A61,'[1]liste reference'!$B$7:$D$892,1,0)),"code non répertorié ou synonyme",VLOOKUP($A61,'[1]liste reference'!$B$7:$D$892,1,0)),VLOOKUP(A61,'[1]liste reference'!$A$7:$D$892,2,0)))))</f>
        <v/>
      </c>
      <c r="L61" s="229"/>
      <c r="M61" s="229"/>
      <c r="N61" s="229"/>
      <c r="O61" s="214" t="str">
        <f aca="false">IF(AA61="Cf.","Cf.","")</f>
        <v/>
      </c>
      <c r="P61" s="214" t="str">
        <f aca="false">IF($A61="NEWCOD",IF($AC61="","No",$AC61),IF(ISTEXT($E61),"DEJA SAISI !",IF($A61="","",IF(ISERROR(VLOOKUP($A61,'[1]liste reference'!A$1:S$1048576,19,FALSE())),IF(ISERROR(VLOOKUP($A61,'[1]liste reference'!B$1:S$1048576,19,FALSE())),"",VLOOKUP($A61,'[1]liste reference'!B$1:S$1048576,19,FALSE())),VLOOKUP($A61,'[1]liste reference'!A$1:S$1048576,19,FALSE())))))</f>
        <v/>
      </c>
      <c r="Q61" s="215" t="str">
        <f aca="false">IF(ISTEXT(H61),"",(B61*$B$7/100)+(C61*$C$7/100))</f>
        <v/>
      </c>
      <c r="R61" s="216" t="str">
        <f aca="false">IF(OR(ISTEXT(H61),Q61=0),"",IF(Q61&lt;0.1,1,IF(Q61&lt;1,2,IF(Q61&lt;10,3,IF(Q61&lt;50,4,IF(Q61&gt;=50,5,""))))))</f>
        <v/>
      </c>
      <c r="S61" s="216" t="n">
        <f aca="false">IF(ISERROR(R61*I61),0,R61*I61)</f>
        <v>0</v>
      </c>
      <c r="T61" s="216" t="n">
        <f aca="false">IF(ISERROR(R61*I61*J61),0,R61*I61*J61)</f>
        <v>0</v>
      </c>
      <c r="U61" s="230" t="n">
        <f aca="false">IF(ISERROR(R61*J61),0,R61*J61)</f>
        <v>0</v>
      </c>
      <c r="V61" s="217" t="n">
        <v>0</v>
      </c>
      <c r="W61" s="218"/>
      <c r="Y61" s="219" t="str">
        <f aca="false">IF(A61="new.cod","NEWCOD",IF(AND((Z61=""),ISTEXT(A61)),A61,IF(Z61="","",INDEX('[1]liste reference'!$A$7:$A$892,Z61))))</f>
        <v/>
      </c>
      <c r="Z61" s="10" t="str">
        <f aca="false">IF(ISERROR(MATCH(A61,'[1]liste reference'!$A$7:$A$892,0)),IF(ISERROR(MATCH(A61,'[1]liste reference'!$B$7:$B$892,0)),"",(MATCH(A61,'[1]liste reference'!$B$7:$B$892,0))),(MATCH(A61,'[1]liste reference'!$A$7:$A$892,0)))</f>
        <v/>
      </c>
      <c r="AA61" s="220"/>
      <c r="AB61" s="221"/>
      <c r="AC61" s="221"/>
      <c r="BC61" s="10" t="str">
        <f aca="false">IF(A61="","",1)</f>
        <v/>
      </c>
    </row>
    <row r="62" customFormat="false" ht="12.75" hidden="false" customHeight="false" outlineLevel="0" collapsed="false">
      <c r="A62" s="222"/>
      <c r="B62" s="223"/>
      <c r="C62" s="224"/>
      <c r="D62" s="225" t="str">
        <f aca="false">IF(ISERROR(VLOOKUP($A62,'[1]liste reference'!$A$7:$D$892,2,0)),IF(ISERROR(VLOOKUP($A62,'[1]liste reference'!$B$7:$D$892,1,0)),"",VLOOKUP($A62,'[1]liste reference'!$B$7:$D$892,1,0)),VLOOKUP($A62,'[1]liste reference'!$A$7:$D$892,2,0))</f>
        <v/>
      </c>
      <c r="E62" s="225" t="n">
        <f aca="false">IF(D62="",0,VLOOKUP(D62,D$22:D61,1,0))</f>
        <v>0</v>
      </c>
      <c r="F62" s="232" t="n">
        <f aca="false">($B62*$B$7+$C62*$C$7)/100</f>
        <v>0</v>
      </c>
      <c r="G62" s="227" t="str">
        <f aca="false">IF(A62="","",IF(ISERROR(VLOOKUP($A62,'[1]liste reference'!$A$7:$P$892,13,0)),IF(ISERROR(VLOOKUP($A62,'[1]liste reference'!$B$7:$P$892,12,0)),"    -",VLOOKUP($A62,'[1]liste reference'!$B$7:$P$892,12,0)),VLOOKUP($A62,'[1]liste reference'!$A$7:$P$892,13,0)))</f>
        <v/>
      </c>
      <c r="H62" s="209" t="str">
        <f aca="false">IF(A62="","x",IF(ISERROR(VLOOKUP($A62,'[1]liste reference'!$A$7:$P$892,14,0)),IF(ISERROR(VLOOKUP($A62,'[1]liste reference'!$B$7:$P$892,13,0)),"x",VLOOKUP($A62,'[1]liste reference'!$B$7:$P$892,13,0)),VLOOKUP($A62,'[1]liste reference'!$A$7:$P$892,14,0)))</f>
        <v>x</v>
      </c>
      <c r="I62" s="228" t="str">
        <f aca="false">IF(ISNUMBER(H62),IF(ISERROR(VLOOKUP($A62,'[1]liste reference'!$A$7:$P$892,3,0)),IF(ISERROR(VLOOKUP($A62,'[1]liste reference'!$B$7:$P$892,2,0)),"",VLOOKUP($A62,'[1]liste reference'!$B$7:$P$892,2,0)),VLOOKUP($A62,'[1]liste reference'!$A$7:$P$892,3,0)),"")</f>
        <v/>
      </c>
      <c r="J62" s="211" t="str">
        <f aca="false">IF(ISNUMBER(H62),IF(ISERROR(VLOOKUP($A62,'[1]liste reference'!$A$7:$P$892,4,0)),IF(ISERROR(VLOOKUP($A62,'[1]liste reference'!$B$7:$P$892,3,0)),"",VLOOKUP($A62,'[1]liste reference'!$B$7:$P$892,3,0)),VLOOKUP($A62,'[1]liste reference'!$A$7:$P$892,4,0)),"")</f>
        <v/>
      </c>
      <c r="K62" s="212" t="str">
        <f aca="false">IF(A62="NEWCOD",IF(AB62="","Remplir le champs 'Nouveau taxa' svp.",$AB62),IF(ISTEXT($E62),"DEJA SAISI !",IF(A62="","",IF(ISERROR(VLOOKUP($A62,'[1]liste reference'!$A$7:$D$892,2,0)),IF(ISERROR(VLOOKUP($A62,'[1]liste reference'!$B$7:$D$892,1,0)),"code non répertorié ou synonyme",VLOOKUP($A62,'[1]liste reference'!$B$7:$D$892,1,0)),VLOOKUP(A62,'[1]liste reference'!$A$7:$D$892,2,0)))))</f>
        <v/>
      </c>
      <c r="L62" s="229"/>
      <c r="M62" s="229"/>
      <c r="N62" s="229"/>
      <c r="O62" s="214" t="str">
        <f aca="false">IF(AA62="Cf.","Cf.","")</f>
        <v/>
      </c>
      <c r="P62" s="214" t="str">
        <f aca="false">IF($A62="NEWCOD",IF($AC62="","No",$AC62),IF(ISTEXT($E62),"DEJA SAISI !",IF($A62="","",IF(ISERROR(VLOOKUP($A62,'[1]liste reference'!A$1:S$1048576,19,FALSE())),IF(ISERROR(VLOOKUP($A62,'[1]liste reference'!B$1:S$1048576,19,FALSE())),"",VLOOKUP($A62,'[1]liste reference'!B$1:S$1048576,19,FALSE())),VLOOKUP($A62,'[1]liste reference'!A$1:S$1048576,19,FALSE())))))</f>
        <v/>
      </c>
      <c r="Q62" s="215" t="str">
        <f aca="false">IF(ISTEXT(H62),"",(B62*$B$7/100)+(C62*$C$7/100))</f>
        <v/>
      </c>
      <c r="R62" s="216" t="str">
        <f aca="false">IF(OR(ISTEXT(H62),Q62=0),"",IF(Q62&lt;0.1,1,IF(Q62&lt;1,2,IF(Q62&lt;10,3,IF(Q62&lt;50,4,IF(Q62&gt;=50,5,""))))))</f>
        <v/>
      </c>
      <c r="S62" s="216" t="n">
        <f aca="false">IF(ISERROR(R62*I62),0,R62*I62)</f>
        <v>0</v>
      </c>
      <c r="T62" s="216" t="n">
        <f aca="false">IF(ISERROR(R62*I62*J62),0,R62*I62*J62)</f>
        <v>0</v>
      </c>
      <c r="U62" s="230" t="n">
        <f aca="false">IF(ISERROR(R62*J62),0,R62*J62)</f>
        <v>0</v>
      </c>
      <c r="V62" s="217" t="n">
        <v>0</v>
      </c>
      <c r="W62" s="218"/>
      <c r="X62" s="218"/>
      <c r="Y62" s="219" t="str">
        <f aca="false">IF(A62="new.cod","NEWCOD",IF(AND((Z62=""),ISTEXT(A62)),A62,IF(Z62="","",INDEX('[1]liste reference'!$A$7:$A$892,Z62))))</f>
        <v/>
      </c>
      <c r="Z62" s="10" t="str">
        <f aca="false">IF(ISERROR(MATCH(A62,'[1]liste reference'!$A$7:$A$892,0)),IF(ISERROR(MATCH(A62,'[1]liste reference'!$B$7:$B$892,0)),"",(MATCH(A62,'[1]liste reference'!$B$7:$B$892,0))),(MATCH(A62,'[1]liste reference'!$A$7:$A$892,0)))</f>
        <v/>
      </c>
      <c r="AA62" s="220"/>
      <c r="AB62" s="221"/>
      <c r="AC62" s="221"/>
      <c r="BC62" s="10" t="str">
        <f aca="false">IF(A62="","",1)</f>
        <v/>
      </c>
    </row>
    <row r="63" customFormat="false" ht="12.75" hidden="false" customHeight="false" outlineLevel="0" collapsed="false">
      <c r="A63" s="222"/>
      <c r="B63" s="223"/>
      <c r="C63" s="224"/>
      <c r="D63" s="225" t="str">
        <f aca="false">IF(ISERROR(VLOOKUP($A63,'[1]liste reference'!$A$7:$D$892,2,0)),IF(ISERROR(VLOOKUP($A63,'[1]liste reference'!$B$7:$D$892,1,0)),"",VLOOKUP($A63,'[1]liste reference'!$B$7:$D$892,1,0)),VLOOKUP($A63,'[1]liste reference'!$A$7:$D$892,2,0))</f>
        <v/>
      </c>
      <c r="E63" s="225" t="n">
        <f aca="false">IF(D63="",0,VLOOKUP(D63,D$22:D62,1,0))</f>
        <v>0</v>
      </c>
      <c r="F63" s="232" t="n">
        <f aca="false">($B63*$B$7+$C63*$C$7)/100</f>
        <v>0</v>
      </c>
      <c r="G63" s="227" t="str">
        <f aca="false">IF(A63="","",IF(ISERROR(VLOOKUP($A63,'[1]liste reference'!$A$7:$P$892,13,0)),IF(ISERROR(VLOOKUP($A63,'[1]liste reference'!$B$7:$P$892,12,0)),"    -",VLOOKUP($A63,'[1]liste reference'!$B$7:$P$892,12,0)),VLOOKUP($A63,'[1]liste reference'!$A$7:$P$892,13,0)))</f>
        <v/>
      </c>
      <c r="H63" s="209" t="str">
        <f aca="false">IF(A63="","x",IF(ISERROR(VLOOKUP($A63,'[1]liste reference'!$A$7:$P$892,14,0)),IF(ISERROR(VLOOKUP($A63,'[1]liste reference'!$B$7:$P$892,13,0)),"x",VLOOKUP($A63,'[1]liste reference'!$B$7:$P$892,13,0)),VLOOKUP($A63,'[1]liste reference'!$A$7:$P$892,14,0)))</f>
        <v>x</v>
      </c>
      <c r="I63" s="228" t="str">
        <f aca="false">IF(ISNUMBER(H63),IF(ISERROR(VLOOKUP($A63,'[1]liste reference'!$A$7:$P$892,3,0)),IF(ISERROR(VLOOKUP($A63,'[1]liste reference'!$B$7:$P$892,2,0)),"",VLOOKUP($A63,'[1]liste reference'!$B$7:$P$892,2,0)),VLOOKUP($A63,'[1]liste reference'!$A$7:$P$892,3,0)),"")</f>
        <v/>
      </c>
      <c r="J63" s="211" t="str">
        <f aca="false">IF(ISNUMBER(H63),IF(ISERROR(VLOOKUP($A63,'[1]liste reference'!$A$7:$P$892,4,0)),IF(ISERROR(VLOOKUP($A63,'[1]liste reference'!$B$7:$P$892,3,0)),"",VLOOKUP($A63,'[1]liste reference'!$B$7:$P$892,3,0)),VLOOKUP($A63,'[1]liste reference'!$A$7:$P$892,4,0)),"")</f>
        <v/>
      </c>
      <c r="K63" s="212" t="str">
        <f aca="false">IF(A63="NEWCOD",IF(AB63="","Remplir le champs 'Nouveau taxa' svp.",$AB63),IF(ISTEXT($E63),"DEJA SAISI !",IF(A63="","",IF(ISERROR(VLOOKUP($A63,'[1]liste reference'!$A$7:$D$892,2,0)),IF(ISERROR(VLOOKUP($A63,'[1]liste reference'!$B$7:$D$892,1,0)),"code non répertorié ou synonyme",VLOOKUP($A63,'[1]liste reference'!$B$7:$D$892,1,0)),VLOOKUP(A63,'[1]liste reference'!$A$7:$D$892,2,0)))))</f>
        <v/>
      </c>
      <c r="L63" s="229"/>
      <c r="M63" s="229"/>
      <c r="N63" s="229"/>
      <c r="O63" s="214" t="str">
        <f aca="false">IF(AA63="Cf.","Cf.","")</f>
        <v/>
      </c>
      <c r="P63" s="214" t="str">
        <f aca="false">IF($A63="NEWCOD",IF($AC63="","No",$AC63),IF(ISTEXT($E63),"DEJA SAISI !",IF($A63="","",IF(ISERROR(VLOOKUP($A63,'[1]liste reference'!A$1:S$1048576,19,FALSE())),IF(ISERROR(VLOOKUP($A63,'[1]liste reference'!B$1:S$1048576,19,FALSE())),"",VLOOKUP($A63,'[1]liste reference'!B$1:S$1048576,19,FALSE())),VLOOKUP($A63,'[1]liste reference'!A$1:S$1048576,19,FALSE())))))</f>
        <v/>
      </c>
      <c r="Q63" s="215" t="str">
        <f aca="false">IF(ISTEXT(H63),"",(B63*$B$7/100)+(C63*$C$7/100))</f>
        <v/>
      </c>
      <c r="R63" s="216" t="str">
        <f aca="false">IF(OR(ISTEXT(H63),Q63=0),"",IF(Q63&lt;0.1,1,IF(Q63&lt;1,2,IF(Q63&lt;10,3,IF(Q63&lt;50,4,IF(Q63&gt;=50,5,""))))))</f>
        <v/>
      </c>
      <c r="S63" s="216" t="n">
        <f aca="false">IF(ISERROR(R63*I63),0,R63*I63)</f>
        <v>0</v>
      </c>
      <c r="T63" s="216" t="n">
        <f aca="false">IF(ISERROR(R63*I63*J63),0,R63*I63*J63)</f>
        <v>0</v>
      </c>
      <c r="U63" s="230" t="n">
        <f aca="false">IF(ISERROR(R63*J63),0,R63*J63)</f>
        <v>0</v>
      </c>
      <c r="V63" s="217" t="n">
        <v>0</v>
      </c>
      <c r="W63" s="218"/>
      <c r="Y63" s="219" t="str">
        <f aca="false">IF(A63="new.cod","NEWCOD",IF(AND((Z63=""),ISTEXT(A63)),A63,IF(Z63="","",INDEX('[1]liste reference'!$A$7:$A$892,Z63))))</f>
        <v/>
      </c>
      <c r="Z63" s="10" t="str">
        <f aca="false">IF(ISERROR(MATCH(A63,'[1]liste reference'!$A$7:$A$892,0)),IF(ISERROR(MATCH(A63,'[1]liste reference'!$B$7:$B$892,0)),"",(MATCH(A63,'[1]liste reference'!$B$7:$B$892,0))),(MATCH(A63,'[1]liste reference'!$A$7:$A$892,0)))</f>
        <v/>
      </c>
      <c r="AA63" s="220"/>
      <c r="AB63" s="221"/>
      <c r="AC63" s="221"/>
      <c r="BC63" s="10" t="str">
        <f aca="false">IF(A63="","",1)</f>
        <v/>
      </c>
    </row>
    <row r="64" customFormat="false" ht="12.75" hidden="true" customHeight="true" outlineLevel="0" collapsed="false">
      <c r="A64" s="222"/>
      <c r="B64" s="223"/>
      <c r="C64" s="224"/>
      <c r="D64" s="225" t="str">
        <f aca="false">IF(ISERROR(VLOOKUP($A64,'[1]liste reference'!$A$7:$D$892,2,0)),IF(ISERROR(VLOOKUP($A64,'[1]liste reference'!$B$7:$D$892,1,0)),"",VLOOKUP($A64,'[1]liste reference'!$B$7:$D$892,1,0)),VLOOKUP($A64,'[1]liste reference'!$A$7:$D$892,2,0))</f>
        <v/>
      </c>
      <c r="E64" s="225" t="n">
        <f aca="false">IF(D64="",0,VLOOKUP(D64,D$22:D52,1,0))</f>
        <v>0</v>
      </c>
      <c r="F64" s="232" t="n">
        <f aca="false">($B64*$B$7+$C64*$C$7)/100</f>
        <v>0</v>
      </c>
      <c r="G64" s="227" t="str">
        <f aca="false">IF(A64="","",IF(ISERROR(VLOOKUP($A64,'[1]liste reference'!$A$7:$P$892,13,0)),IF(ISERROR(VLOOKUP($A64,'[1]liste reference'!$B$7:$P$892,12,0)),"    -",VLOOKUP($A64,'[1]liste reference'!$B$7:$P$892,12,0)),VLOOKUP($A64,'[1]liste reference'!$A$7:$P$892,13,0)))</f>
        <v/>
      </c>
      <c r="H64" s="209" t="str">
        <f aca="false">IF(A64="","x",IF(ISERROR(VLOOKUP($A64,'[1]liste reference'!$A$7:$P$892,14,0)),IF(ISERROR(VLOOKUP($A64,'[1]liste reference'!$B$7:$P$892,13,0)),"x",VLOOKUP($A64,'[1]liste reference'!$B$7:$P$892,13,0)),VLOOKUP($A64,'[1]liste reference'!$A$7:$P$892,14,0)))</f>
        <v>x</v>
      </c>
      <c r="I64" s="228" t="str">
        <f aca="false">IF(ISNUMBER(H64),IF(ISERROR(VLOOKUP($A64,'[1]liste reference'!$A$7:$P$892,3,0)),IF(ISERROR(VLOOKUP($A64,'[1]liste reference'!$B$7:$P$892,2,0)),"",VLOOKUP($A64,'[1]liste reference'!$B$7:$P$892,2,0)),VLOOKUP($A64,'[1]liste reference'!$A$7:$P$892,3,0)),"")</f>
        <v/>
      </c>
      <c r="J64" s="211" t="str">
        <f aca="false">IF(ISNUMBER(H64),IF(ISERROR(VLOOKUP($A64,'[1]liste reference'!$A$7:$P$892,4,0)),IF(ISERROR(VLOOKUP($A64,'[1]liste reference'!$B$7:$P$892,3,0)),"",VLOOKUP($A64,'[1]liste reference'!$B$7:$P$892,3,0)),VLOOKUP($A64,'[1]liste reference'!$A$7:$P$892,4,0)),"")</f>
        <v/>
      </c>
      <c r="K64" s="212" t="str">
        <f aca="false">IF(A64="NEWCOD",IF(AB64="","Remplir le champs 'Nouveau taxa' svp.",$AB64),IF(ISTEXT($E64),"DEJA SAISI !",IF(A64="","",IF(ISERROR(VLOOKUP($A64,'[1]liste reference'!$A$7:$D$892,2,0)),IF(ISERROR(VLOOKUP($A64,'[1]liste reference'!$B$7:$D$892,1,0)),"code non répertorié ou synonyme",VLOOKUP($A64,'[1]liste reference'!$B$7:$D$892,1,0)),VLOOKUP(A64,'[1]liste reference'!$A$7:$D$892,2,0)))))</f>
        <v/>
      </c>
      <c r="L64" s="229"/>
      <c r="M64" s="229"/>
      <c r="N64" s="229"/>
      <c r="O64" s="214" t="str">
        <f aca="false">IF(AA64="Cf.","Cf.","")</f>
        <v/>
      </c>
      <c r="P64" s="214" t="str">
        <f aca="false">IF($A64="NEWCOD",IF($AC64="","No",$AC64),IF(ISTEXT($E64),"DEJA SAISI !",IF($A64="","",IF(ISERROR(VLOOKUP($A64,'[1]liste reference'!A$1:S$1048576,19,FALSE())),IF(ISERROR(VLOOKUP($A64,'[1]liste reference'!B$1:S$1048576,19,FALSE())),"",VLOOKUP($A64,'[1]liste reference'!B$1:S$1048576,19,FALSE())),VLOOKUP($A64,'[1]liste reference'!A$1:S$1048576,19,FALSE())))))</f>
        <v/>
      </c>
      <c r="Q64" s="215" t="str">
        <f aca="false">IF(ISTEXT(H64),"",(B64*$B$7/100)+(C64*$C$7/100))</f>
        <v/>
      </c>
      <c r="R64" s="216" t="str">
        <f aca="false">IF(OR(ISTEXT(H64),Q64=0),"",IF(Q64&lt;0.1,1,IF(Q64&lt;1,2,IF(Q64&lt;10,3,IF(Q64&lt;50,4,IF(Q64&gt;=50,5,""))))))</f>
        <v/>
      </c>
      <c r="S64" s="216" t="n">
        <f aca="false">IF(ISERROR(R64*I64),0,R64*I64)</f>
        <v>0</v>
      </c>
      <c r="T64" s="216" t="n">
        <f aca="false">IF(ISERROR(R64*I64*J64),0,R64*I64*J64)</f>
        <v>0</v>
      </c>
      <c r="U64" s="230" t="n">
        <f aca="false">IF(ISERROR(R64*J64),0,R64*J64)</f>
        <v>0</v>
      </c>
      <c r="V64" s="217" t="n">
        <v>0</v>
      </c>
      <c r="W64" s="218"/>
      <c r="Y64" s="219" t="str">
        <f aca="false">IF(A64="new.cod","NEWCOD",IF(AND((Z64=""),ISTEXT(A64)),A64,IF(Z64="","",INDEX('[1]liste reference'!$A$7:$A$892,Z64))))</f>
        <v/>
      </c>
      <c r="Z64" s="10" t="str">
        <f aca="false">IF(ISERROR(MATCH(A64,'[1]liste reference'!$A$7:$A$892,0)),IF(ISERROR(MATCH(A64,'[1]liste reference'!$B$7:$B$892,0)),"",(MATCH(A64,'[1]liste reference'!$B$7:$B$892,0))),(MATCH(A64,'[1]liste reference'!$A$7:$A$892,0)))</f>
        <v/>
      </c>
      <c r="AA64" s="220"/>
      <c r="AB64" s="221"/>
      <c r="AC64" s="221"/>
      <c r="BC64" s="10" t="str">
        <f aca="false">IF(A64="","",1)</f>
        <v/>
      </c>
    </row>
    <row r="65" customFormat="false" ht="12.75" hidden="true" customHeight="false" outlineLevel="0" collapsed="false">
      <c r="A65" s="222"/>
      <c r="B65" s="223"/>
      <c r="C65" s="224"/>
      <c r="D65" s="225" t="str">
        <f aca="false">IF(ISERROR(VLOOKUP($A65,'[1]liste reference'!$A$7:$D$892,2,0)),IF(ISERROR(VLOOKUP($A65,'[1]liste reference'!$B$7:$D$892,1,0)),"",VLOOKUP($A65,'[1]liste reference'!$B$7:$D$892,1,0)),VLOOKUP($A65,'[1]liste reference'!$A$7:$D$892,2,0))</f>
        <v/>
      </c>
      <c r="E65" s="225" t="n">
        <f aca="false">IF(D65="",0,VLOOKUP(D65,D$22:D53,1,0))</f>
        <v>0</v>
      </c>
      <c r="F65" s="232" t="n">
        <f aca="false">($B65*$B$7+$C65*$C$7)/100</f>
        <v>0</v>
      </c>
      <c r="G65" s="227" t="str">
        <f aca="false">IF(A65="","",IF(ISERROR(VLOOKUP($A65,'[1]liste reference'!$A$7:$P$892,13,0)),IF(ISERROR(VLOOKUP($A65,'[1]liste reference'!$B$7:$P$892,12,0)),"    -",VLOOKUP($A65,'[1]liste reference'!$B$7:$P$892,12,0)),VLOOKUP($A65,'[1]liste reference'!$A$7:$P$892,13,0)))</f>
        <v/>
      </c>
      <c r="H65" s="209" t="str">
        <f aca="false">IF(A65="","x",IF(ISERROR(VLOOKUP($A65,'[1]liste reference'!$A$7:$P$892,14,0)),IF(ISERROR(VLOOKUP($A65,'[1]liste reference'!$B$7:$P$892,13,0)),"x",VLOOKUP($A65,'[1]liste reference'!$B$7:$P$892,13,0)),VLOOKUP($A65,'[1]liste reference'!$A$7:$P$892,14,0)))</f>
        <v>x</v>
      </c>
      <c r="I65" s="228" t="str">
        <f aca="false">IF(ISNUMBER(H65),IF(ISERROR(VLOOKUP($A65,'[1]liste reference'!$A$7:$P$892,3,0)),IF(ISERROR(VLOOKUP($A65,'[1]liste reference'!$B$7:$P$892,2,0)),"",VLOOKUP($A65,'[1]liste reference'!$B$7:$P$892,2,0)),VLOOKUP($A65,'[1]liste reference'!$A$7:$P$892,3,0)),"")</f>
        <v/>
      </c>
      <c r="J65" s="211" t="str">
        <f aca="false">IF(ISNUMBER(H65),IF(ISERROR(VLOOKUP($A65,'[1]liste reference'!$A$7:$P$892,4,0)),IF(ISERROR(VLOOKUP($A65,'[1]liste reference'!$B$7:$P$892,3,0)),"",VLOOKUP($A65,'[1]liste reference'!$B$7:$P$892,3,0)),VLOOKUP($A65,'[1]liste reference'!$A$7:$P$892,4,0)),"")</f>
        <v/>
      </c>
      <c r="K65" s="212" t="str">
        <f aca="false">IF(A65="NEWCOD",IF(AB65="","Remplir le champs 'Nouveau taxa' svp.",$AB65),IF(ISTEXT($E65),"DEJA SAISI !",IF(A65="","",IF(ISERROR(VLOOKUP($A65,'[1]liste reference'!$A$7:$D$892,2,0)),IF(ISERROR(VLOOKUP($A65,'[1]liste reference'!$B$7:$D$892,1,0)),"code non répertorié ou synonyme",VLOOKUP($A65,'[1]liste reference'!$B$7:$D$892,1,0)),VLOOKUP(A65,'[1]liste reference'!$A$7:$D$892,2,0)))))</f>
        <v/>
      </c>
      <c r="L65" s="229"/>
      <c r="M65" s="229"/>
      <c r="N65" s="229"/>
      <c r="O65" s="214" t="str">
        <f aca="false">IF(AA65="Cf.","Cf.","")</f>
        <v/>
      </c>
      <c r="P65" s="214" t="str">
        <f aca="false">IF($A65="NEWCOD",IF($AC65="","No",$AC65),IF(ISTEXT($E65),"DEJA SAISI !",IF($A65="","",IF(ISERROR(VLOOKUP($A65,'[1]liste reference'!A$1:S$1048576,19,FALSE())),IF(ISERROR(VLOOKUP($A65,'[1]liste reference'!B$1:S$1048576,19,FALSE())),"",VLOOKUP($A65,'[1]liste reference'!B$1:S$1048576,19,FALSE())),VLOOKUP($A65,'[1]liste reference'!A$1:S$1048576,19,FALSE())))))</f>
        <v/>
      </c>
      <c r="Q65" s="215" t="str">
        <f aca="false">IF(ISTEXT(H65),"",(B65*$B$7/100)+(C65*$C$7/100))</f>
        <v/>
      </c>
      <c r="R65" s="216" t="str">
        <f aca="false">IF(OR(ISTEXT(H65),Q65=0),"",IF(Q65&lt;0.1,1,IF(Q65&lt;1,2,IF(Q65&lt;10,3,IF(Q65&lt;50,4,IF(Q65&gt;=50,5,""))))))</f>
        <v/>
      </c>
      <c r="S65" s="216" t="n">
        <f aca="false">IF(ISERROR(R65*I65),0,R65*I65)</f>
        <v>0</v>
      </c>
      <c r="T65" s="216" t="n">
        <f aca="false">IF(ISERROR(R65*I65*J65),0,R65*I65*J65)</f>
        <v>0</v>
      </c>
      <c r="U65" s="230" t="n">
        <f aca="false">IF(ISERROR(R65*J65),0,R65*J65)</f>
        <v>0</v>
      </c>
      <c r="V65" s="217" t="n">
        <v>0</v>
      </c>
      <c r="W65" s="218"/>
      <c r="Y65" s="219" t="str">
        <f aca="false">IF(A65="new.cod","NEWCOD",IF(AND((Z65=""),ISTEXT(A65)),A65,IF(Z65="","",INDEX('[1]liste reference'!$A$7:$A$892,Z65))))</f>
        <v/>
      </c>
      <c r="Z65" s="10" t="str">
        <f aca="false">IF(ISERROR(MATCH(A65,'[1]liste reference'!$A$7:$A$892,0)),IF(ISERROR(MATCH(A65,'[1]liste reference'!$B$7:$B$892,0)),"",(MATCH(A65,'[1]liste reference'!$B$7:$B$892,0))),(MATCH(A65,'[1]liste reference'!$A$7:$A$892,0)))</f>
        <v/>
      </c>
      <c r="AA65" s="220"/>
      <c r="AB65" s="221"/>
      <c r="AC65" s="221"/>
      <c r="BC65" s="10" t="str">
        <f aca="false">IF(A65="","",1)</f>
        <v/>
      </c>
    </row>
    <row r="66" customFormat="false" ht="12.75" hidden="true" customHeight="false" outlineLevel="0" collapsed="false">
      <c r="A66" s="222"/>
      <c r="B66" s="223"/>
      <c r="C66" s="224"/>
      <c r="D66" s="225" t="str">
        <f aca="false">IF(ISERROR(VLOOKUP($A66,'[1]liste reference'!$A$7:$D$892,2,0)),IF(ISERROR(VLOOKUP($A66,'[1]liste reference'!$B$7:$D$892,1,0)),"",VLOOKUP($A66,'[1]liste reference'!$B$7:$D$892,1,0)),VLOOKUP($A66,'[1]liste reference'!$A$7:$D$892,2,0))</f>
        <v/>
      </c>
      <c r="E66" s="225" t="n">
        <f aca="false">IF(D66="",0,VLOOKUP(D66,D$22:D51,1,0))</f>
        <v>0</v>
      </c>
      <c r="F66" s="232" t="n">
        <f aca="false">($B66*$B$7+$C66*$C$7)/100</f>
        <v>0</v>
      </c>
      <c r="G66" s="227" t="str">
        <f aca="false">IF(A66="","",IF(ISERROR(VLOOKUP($A66,'[1]liste reference'!$A$7:$P$892,13,0)),IF(ISERROR(VLOOKUP($A66,'[1]liste reference'!$B$7:$P$892,12,0)),"    -",VLOOKUP($A66,'[1]liste reference'!$B$7:$P$892,12,0)),VLOOKUP($A66,'[1]liste reference'!$A$7:$P$892,13,0)))</f>
        <v/>
      </c>
      <c r="H66" s="209" t="str">
        <f aca="false">IF(A66="","x",IF(ISERROR(VLOOKUP($A66,'[1]liste reference'!$A$7:$P$892,14,0)),IF(ISERROR(VLOOKUP($A66,'[1]liste reference'!$B$7:$P$892,13,0)),"x",VLOOKUP($A66,'[1]liste reference'!$B$7:$P$892,13,0)),VLOOKUP($A66,'[1]liste reference'!$A$7:$P$892,14,0)))</f>
        <v>x</v>
      </c>
      <c r="I66" s="228" t="str">
        <f aca="false">IF(ISNUMBER(H66),IF(ISERROR(VLOOKUP($A66,'[1]liste reference'!$A$7:$P$892,3,0)),IF(ISERROR(VLOOKUP($A66,'[1]liste reference'!$B$7:$P$892,2,0)),"",VLOOKUP($A66,'[1]liste reference'!$B$7:$P$892,2,0)),VLOOKUP($A66,'[1]liste reference'!$A$7:$P$892,3,0)),"")</f>
        <v/>
      </c>
      <c r="J66" s="211" t="str">
        <f aca="false">IF(ISNUMBER(H66),IF(ISERROR(VLOOKUP($A66,'[1]liste reference'!$A$7:$P$892,4,0)),IF(ISERROR(VLOOKUP($A66,'[1]liste reference'!$B$7:$P$892,3,0)),"",VLOOKUP($A66,'[1]liste reference'!$B$7:$P$892,3,0)),VLOOKUP($A66,'[1]liste reference'!$A$7:$P$892,4,0)),"")</f>
        <v/>
      </c>
      <c r="K66" s="212" t="str">
        <f aca="false">IF(A66="NEWCOD",IF(AB66="","Remplir le champs 'Nouveau taxa' svp.",$AB66),IF(ISTEXT($E66),"DEJA SAISI !",IF(A66="","",IF(ISERROR(VLOOKUP($A66,'[1]liste reference'!$A$7:$D$892,2,0)),IF(ISERROR(VLOOKUP($A66,'[1]liste reference'!$B$7:$D$892,1,0)),"code non répertorié ou synonyme",VLOOKUP($A66,'[1]liste reference'!$B$7:$D$892,1,0)),VLOOKUP(A66,'[1]liste reference'!$A$7:$D$892,2,0)))))</f>
        <v/>
      </c>
      <c r="L66" s="229"/>
      <c r="M66" s="229"/>
      <c r="N66" s="229"/>
      <c r="O66" s="214" t="str">
        <f aca="false">IF(AA66="Cf.","Cf.","")</f>
        <v/>
      </c>
      <c r="P66" s="214" t="str">
        <f aca="false">IF($A66="NEWCOD",IF($AC66="","No",$AC66),IF(ISTEXT($E66),"DEJA SAISI !",IF($A66="","",IF(ISERROR(VLOOKUP($A66,'[1]liste reference'!A$1:S$1048576,19,FALSE())),IF(ISERROR(VLOOKUP($A66,'[1]liste reference'!B$1:S$1048576,19,FALSE())),"",VLOOKUP($A66,'[1]liste reference'!B$1:S$1048576,19,FALSE())),VLOOKUP($A66,'[1]liste reference'!A$1:S$1048576,19,FALSE())))))</f>
        <v/>
      </c>
      <c r="Q66" s="215" t="str">
        <f aca="false">IF(ISTEXT(H66),"",(B66*$B$7/100)+(C66*$C$7/100))</f>
        <v/>
      </c>
      <c r="R66" s="216" t="str">
        <f aca="false">IF(OR(ISTEXT(H66),Q66=0),"",IF(Q66&lt;0.1,1,IF(Q66&lt;1,2,IF(Q66&lt;10,3,IF(Q66&lt;50,4,IF(Q66&gt;=50,5,""))))))</f>
        <v/>
      </c>
      <c r="S66" s="216" t="n">
        <f aca="false">IF(ISERROR(R66*I66),0,R66*I66)</f>
        <v>0</v>
      </c>
      <c r="T66" s="216" t="n">
        <f aca="false">IF(ISERROR(R66*I66*J66),0,R66*I66*J66)</f>
        <v>0</v>
      </c>
      <c r="U66" s="230" t="n">
        <f aca="false">IF(ISERROR(R66*J66),0,R66*J66)</f>
        <v>0</v>
      </c>
      <c r="V66" s="217" t="n">
        <v>0</v>
      </c>
      <c r="W66" s="218"/>
      <c r="Y66" s="219" t="str">
        <f aca="false">IF(A66="new.cod","NEWCOD",IF(AND((Z66=""),ISTEXT(A66)),A66,IF(Z66="","",INDEX('[1]liste reference'!$A$7:$A$892,Z66))))</f>
        <v/>
      </c>
      <c r="Z66" s="10" t="str">
        <f aca="false">IF(ISERROR(MATCH(A66,'[1]liste reference'!$A$7:$A$892,0)),IF(ISERROR(MATCH(A66,'[1]liste reference'!$B$7:$B$892,0)),"",(MATCH(A66,'[1]liste reference'!$B$7:$B$892,0))),(MATCH(A66,'[1]liste reference'!$A$7:$A$892,0)))</f>
        <v/>
      </c>
      <c r="AA66" s="220"/>
      <c r="AB66" s="221"/>
      <c r="AC66" s="221"/>
      <c r="BC66" s="10" t="str">
        <f aca="false">IF(A66="","",1)</f>
        <v/>
      </c>
    </row>
    <row r="67" customFormat="false" ht="12.75" hidden="true" customHeight="false" outlineLevel="0" collapsed="false">
      <c r="A67" s="222"/>
      <c r="B67" s="223"/>
      <c r="C67" s="224"/>
      <c r="D67" s="225" t="str">
        <f aca="false">IF(ISERROR(VLOOKUP($A67,'[1]liste reference'!$A$7:$D$892,2,0)),IF(ISERROR(VLOOKUP($A67,'[1]liste reference'!$B$7:$D$892,1,0)),"",VLOOKUP($A67,'[1]liste reference'!$B$7:$D$892,1,0)),VLOOKUP($A67,'[1]liste reference'!$A$7:$D$892,2,0))</f>
        <v/>
      </c>
      <c r="E67" s="225" t="n">
        <f aca="false">IF(D67="",0,VLOOKUP(D67,D$22:D52,1,0))</f>
        <v>0</v>
      </c>
      <c r="F67" s="232" t="n">
        <f aca="false">($B67*$B$7+$C67*$C$7)/100</f>
        <v>0</v>
      </c>
      <c r="G67" s="227" t="str">
        <f aca="false">IF(A67="","",IF(ISERROR(VLOOKUP($A67,'[1]liste reference'!$A$7:$P$892,13,0)),IF(ISERROR(VLOOKUP($A67,'[1]liste reference'!$B$7:$P$892,12,0)),"    -",VLOOKUP($A67,'[1]liste reference'!$B$7:$P$892,12,0)),VLOOKUP($A67,'[1]liste reference'!$A$7:$P$892,13,0)))</f>
        <v/>
      </c>
      <c r="H67" s="209" t="str">
        <f aca="false">IF(A67="","x",IF(ISERROR(VLOOKUP($A67,'[1]liste reference'!$A$7:$P$892,14,0)),IF(ISERROR(VLOOKUP($A67,'[1]liste reference'!$B$7:$P$892,13,0)),"x",VLOOKUP($A67,'[1]liste reference'!$B$7:$P$892,13,0)),VLOOKUP($A67,'[1]liste reference'!$A$7:$P$892,14,0)))</f>
        <v>x</v>
      </c>
      <c r="I67" s="228" t="str">
        <f aca="false">IF(ISNUMBER(H67),IF(ISERROR(VLOOKUP($A67,'[1]liste reference'!$A$7:$P$892,3,0)),IF(ISERROR(VLOOKUP($A67,'[1]liste reference'!$B$7:$P$892,2,0)),"",VLOOKUP($A67,'[1]liste reference'!$B$7:$P$892,2,0)),VLOOKUP($A67,'[1]liste reference'!$A$7:$P$892,3,0)),"")</f>
        <v/>
      </c>
      <c r="J67" s="211" t="str">
        <f aca="false">IF(ISNUMBER(H67),IF(ISERROR(VLOOKUP($A67,'[1]liste reference'!$A$7:$P$892,4,0)),IF(ISERROR(VLOOKUP($A67,'[1]liste reference'!$B$7:$P$892,3,0)),"",VLOOKUP($A67,'[1]liste reference'!$B$7:$P$892,3,0)),VLOOKUP($A67,'[1]liste reference'!$A$7:$P$892,4,0)),"")</f>
        <v/>
      </c>
      <c r="K67" s="212" t="str">
        <f aca="false">IF(A67="NEWCOD",IF(AB67="","Remplir le champs 'Nouveau taxa' svp.",$AB67),IF(ISTEXT($E67),"DEJA SAISI !",IF(A67="","",IF(ISERROR(VLOOKUP($A67,'[1]liste reference'!$A$7:$D$892,2,0)),IF(ISERROR(VLOOKUP($A67,'[1]liste reference'!$B$7:$D$892,1,0)),"code non répertorié ou synonyme",VLOOKUP($A67,'[1]liste reference'!$B$7:$D$892,1,0)),VLOOKUP(A67,'[1]liste reference'!$A$7:$D$892,2,0)))))</f>
        <v/>
      </c>
      <c r="L67" s="229"/>
      <c r="M67" s="229"/>
      <c r="N67" s="229"/>
      <c r="O67" s="214" t="str">
        <f aca="false">IF(AA67="Cf.","Cf.","")</f>
        <v/>
      </c>
      <c r="P67" s="214" t="str">
        <f aca="false">IF($A67="NEWCOD",IF($AC67="","No",$AC67),IF(ISTEXT($E67),"DEJA SAISI !",IF($A67="","",IF(ISERROR(VLOOKUP($A67,'[1]liste reference'!A$1:S$1048576,19,FALSE())),IF(ISERROR(VLOOKUP($A67,'[1]liste reference'!B$1:S$1048576,19,FALSE())),"",VLOOKUP($A67,'[1]liste reference'!B$1:S$1048576,19,FALSE())),VLOOKUP($A67,'[1]liste reference'!A$1:S$1048576,19,FALSE())))))</f>
        <v/>
      </c>
      <c r="Q67" s="215" t="str">
        <f aca="false">IF(ISTEXT(H67),"",(B67*$B$7/100)+(C67*$C$7/100))</f>
        <v/>
      </c>
      <c r="R67" s="216" t="str">
        <f aca="false">IF(OR(ISTEXT(H67),Q67=0),"",IF(Q67&lt;0.1,1,IF(Q67&lt;1,2,IF(Q67&lt;10,3,IF(Q67&lt;50,4,IF(Q67&gt;=50,5,""))))))</f>
        <v/>
      </c>
      <c r="S67" s="216" t="n">
        <f aca="false">IF(ISERROR(R67*I67),0,R67*I67)</f>
        <v>0</v>
      </c>
      <c r="T67" s="216" t="n">
        <f aca="false">IF(ISERROR(R67*I67*J67),0,R67*I67*J67)</f>
        <v>0</v>
      </c>
      <c r="U67" s="230" t="n">
        <f aca="false">IF(ISERROR(R67*J67),0,R67*J67)</f>
        <v>0</v>
      </c>
      <c r="V67" s="217" t="n">
        <v>0</v>
      </c>
      <c r="W67" s="218"/>
      <c r="Y67" s="219" t="str">
        <f aca="false">IF(A67="new.cod","NEWCOD",IF(AND((Z67=""),ISTEXT(A67)),A67,IF(Z67="","",INDEX('[1]liste reference'!$A$7:$A$892,Z67))))</f>
        <v/>
      </c>
      <c r="Z67" s="10" t="str">
        <f aca="false">IF(ISERROR(MATCH(A67,'[1]liste reference'!$A$7:$A$892,0)),IF(ISERROR(MATCH(A67,'[1]liste reference'!$B$7:$B$892,0)),"",(MATCH(A67,'[1]liste reference'!$B$7:$B$892,0))),(MATCH(A67,'[1]liste reference'!$A$7:$A$892,0)))</f>
        <v/>
      </c>
      <c r="AA67" s="220"/>
      <c r="AB67" s="221"/>
      <c r="AC67" s="221"/>
      <c r="BC67" s="10" t="str">
        <f aca="false">IF(A67="","",1)</f>
        <v/>
      </c>
    </row>
    <row r="68" customFormat="false" ht="12.75" hidden="true" customHeight="false" outlineLevel="0" collapsed="false">
      <c r="A68" s="222"/>
      <c r="B68" s="223"/>
      <c r="C68" s="224"/>
      <c r="D68" s="225" t="str">
        <f aca="false">IF(ISERROR(VLOOKUP($A68,'[1]liste reference'!$A$7:$D$892,2,0)),IF(ISERROR(VLOOKUP($A68,'[1]liste reference'!$B$7:$D$892,1,0)),"",VLOOKUP($A68,'[1]liste reference'!$B$7:$D$892,1,0)),VLOOKUP($A68,'[1]liste reference'!$A$7:$D$892,2,0))</f>
        <v/>
      </c>
      <c r="E68" s="225" t="n">
        <f aca="false">IF(D68="",0,VLOOKUP(D68,D$22:D53,1,0))</f>
        <v>0</v>
      </c>
      <c r="F68" s="232" t="n">
        <f aca="false">($B68*$B$7+$C68*$C$7)/100</f>
        <v>0</v>
      </c>
      <c r="G68" s="227" t="str">
        <f aca="false">IF(A68="","",IF(ISERROR(VLOOKUP($A68,'[1]liste reference'!$A$7:$P$892,13,0)),IF(ISERROR(VLOOKUP($A68,'[1]liste reference'!$B$7:$P$892,12,0)),"    -",VLOOKUP($A68,'[1]liste reference'!$B$7:$P$892,12,0)),VLOOKUP($A68,'[1]liste reference'!$A$7:$P$892,13,0)))</f>
        <v/>
      </c>
      <c r="H68" s="209" t="str">
        <f aca="false">IF(A68="","x",IF(ISERROR(VLOOKUP($A68,'[1]liste reference'!$A$7:$P$892,14,0)),IF(ISERROR(VLOOKUP($A68,'[1]liste reference'!$B$7:$P$892,13,0)),"x",VLOOKUP($A68,'[1]liste reference'!$B$7:$P$892,13,0)),VLOOKUP($A68,'[1]liste reference'!$A$7:$P$892,14,0)))</f>
        <v>x</v>
      </c>
      <c r="I68" s="228" t="str">
        <f aca="false">IF(ISNUMBER(H68),IF(ISERROR(VLOOKUP($A68,'[1]liste reference'!$A$7:$P$892,3,0)),IF(ISERROR(VLOOKUP($A68,'[1]liste reference'!$B$7:$P$892,2,0)),"",VLOOKUP($A68,'[1]liste reference'!$B$7:$P$892,2,0)),VLOOKUP($A68,'[1]liste reference'!$A$7:$P$892,3,0)),"")</f>
        <v/>
      </c>
      <c r="J68" s="211" t="str">
        <f aca="false">IF(ISNUMBER(H68),IF(ISERROR(VLOOKUP($A68,'[1]liste reference'!$A$7:$P$892,4,0)),IF(ISERROR(VLOOKUP($A68,'[1]liste reference'!$B$7:$P$892,3,0)),"",VLOOKUP($A68,'[1]liste reference'!$B$7:$P$892,3,0)),VLOOKUP($A68,'[1]liste reference'!$A$7:$P$892,4,0)),"")</f>
        <v/>
      </c>
      <c r="K68" s="212" t="str">
        <f aca="false">IF(A68="NEWCOD",IF(AB68="","Remplir le champs 'Nouveau taxa' svp.",$AB68),IF(ISTEXT($E68),"DEJA SAISI !",IF(A68="","",IF(ISERROR(VLOOKUP($A68,'[1]liste reference'!$A$7:$D$892,2,0)),IF(ISERROR(VLOOKUP($A68,'[1]liste reference'!$B$7:$D$892,1,0)),"code non répertorié ou synonyme",VLOOKUP($A68,'[1]liste reference'!$B$7:$D$892,1,0)),VLOOKUP(A68,'[1]liste reference'!$A$7:$D$892,2,0)))))</f>
        <v/>
      </c>
      <c r="L68" s="229"/>
      <c r="M68" s="229"/>
      <c r="N68" s="229"/>
      <c r="O68" s="214" t="str">
        <f aca="false">IF(AA68="Cf.","Cf.","")</f>
        <v/>
      </c>
      <c r="P68" s="214" t="str">
        <f aca="false">IF($A68="NEWCOD",IF($AC68="","No",$AC68),IF(ISTEXT($E68),"DEJA SAISI !",IF($A68="","",IF(ISERROR(VLOOKUP($A68,'[1]liste reference'!A$1:S$1048576,19,FALSE())),IF(ISERROR(VLOOKUP($A68,'[1]liste reference'!B$1:S$1048576,19,FALSE())),"",VLOOKUP($A68,'[1]liste reference'!B$1:S$1048576,19,FALSE())),VLOOKUP($A68,'[1]liste reference'!A$1:S$1048576,19,FALSE())))))</f>
        <v/>
      </c>
      <c r="Q68" s="215" t="str">
        <f aca="false">IF(ISTEXT(H68),"",(B68*$B$7/100)+(C68*$C$7/100))</f>
        <v/>
      </c>
      <c r="R68" s="216" t="str">
        <f aca="false">IF(OR(ISTEXT(H68),Q68=0),"",IF(Q68&lt;0.1,1,IF(Q68&lt;1,2,IF(Q68&lt;10,3,IF(Q68&lt;50,4,IF(Q68&gt;=50,5,""))))))</f>
        <v/>
      </c>
      <c r="S68" s="216" t="n">
        <f aca="false">IF(ISERROR(R68*I68),0,R68*I68)</f>
        <v>0</v>
      </c>
      <c r="T68" s="216" t="n">
        <f aca="false">IF(ISERROR(R68*I68*J68),0,R68*I68*J68)</f>
        <v>0</v>
      </c>
      <c r="U68" s="230" t="n">
        <f aca="false">IF(ISERROR(R68*J68),0,R68*J68)</f>
        <v>0</v>
      </c>
      <c r="V68" s="217" t="n">
        <v>0</v>
      </c>
      <c r="W68" s="218"/>
      <c r="Y68" s="219" t="str">
        <f aca="false">IF(A68="new.cod","NEWCOD",IF(AND((Z68=""),ISTEXT(A68)),A68,IF(Z68="","",INDEX('[1]liste reference'!$A$7:$A$892,Z68))))</f>
        <v/>
      </c>
      <c r="Z68" s="10" t="str">
        <f aca="false">IF(ISERROR(MATCH(A68,'[1]liste reference'!$A$7:$A$892,0)),IF(ISERROR(MATCH(A68,'[1]liste reference'!$B$7:$B$892,0)),"",(MATCH(A68,'[1]liste reference'!$B$7:$B$892,0))),(MATCH(A68,'[1]liste reference'!$A$7:$A$892,0)))</f>
        <v/>
      </c>
      <c r="AA68" s="220"/>
      <c r="AB68" s="221"/>
      <c r="AC68" s="221"/>
      <c r="BC68" s="10" t="str">
        <f aca="false">IF(A68="","",1)</f>
        <v/>
      </c>
    </row>
    <row r="69" customFormat="false" ht="12.75" hidden="true" customHeight="false" outlineLevel="0" collapsed="false">
      <c r="A69" s="222"/>
      <c r="B69" s="223"/>
      <c r="C69" s="224"/>
      <c r="D69" s="225" t="str">
        <f aca="false">IF(ISERROR(VLOOKUP($A69,'[1]liste reference'!$A$7:$D$892,2,0)),IF(ISERROR(VLOOKUP($A69,'[1]liste reference'!$B$7:$D$892,1,0)),"",VLOOKUP($A69,'[1]liste reference'!$B$7:$D$892,1,0)),VLOOKUP($A69,'[1]liste reference'!$A$7:$D$892,2,0))</f>
        <v/>
      </c>
      <c r="E69" s="225" t="n">
        <f aca="false">IF(D69="",0,VLOOKUP(D69,D$22:D54,1,0))</f>
        <v>0</v>
      </c>
      <c r="F69" s="232" t="n">
        <f aca="false">($B69*$B$7+$C69*$C$7)/100</f>
        <v>0</v>
      </c>
      <c r="G69" s="227" t="str">
        <f aca="false">IF(A69="","",IF(ISERROR(VLOOKUP($A69,'[1]liste reference'!$A$7:$P$892,13,0)),IF(ISERROR(VLOOKUP($A69,'[1]liste reference'!$B$7:$P$892,12,0)),"    -",VLOOKUP($A69,'[1]liste reference'!$B$7:$P$892,12,0)),VLOOKUP($A69,'[1]liste reference'!$A$7:$P$892,13,0)))</f>
        <v/>
      </c>
      <c r="H69" s="209" t="str">
        <f aca="false">IF(A69="","x",IF(ISERROR(VLOOKUP($A69,'[1]liste reference'!$A$7:$P$892,14,0)),IF(ISERROR(VLOOKUP($A69,'[1]liste reference'!$B$7:$P$892,13,0)),"x",VLOOKUP($A69,'[1]liste reference'!$B$7:$P$892,13,0)),VLOOKUP($A69,'[1]liste reference'!$A$7:$P$892,14,0)))</f>
        <v>x</v>
      </c>
      <c r="I69" s="228" t="str">
        <f aca="false">IF(ISNUMBER(H69),IF(ISERROR(VLOOKUP($A69,'[1]liste reference'!$A$7:$P$892,3,0)),IF(ISERROR(VLOOKUP($A69,'[1]liste reference'!$B$7:$P$892,2,0)),"",VLOOKUP($A69,'[1]liste reference'!$B$7:$P$892,2,0)),VLOOKUP($A69,'[1]liste reference'!$A$7:$P$892,3,0)),"")</f>
        <v/>
      </c>
      <c r="J69" s="211" t="str">
        <f aca="false">IF(ISNUMBER(H69),IF(ISERROR(VLOOKUP($A69,'[1]liste reference'!$A$7:$P$892,4,0)),IF(ISERROR(VLOOKUP($A69,'[1]liste reference'!$B$7:$P$892,3,0)),"",VLOOKUP($A69,'[1]liste reference'!$B$7:$P$892,3,0)),VLOOKUP($A69,'[1]liste reference'!$A$7:$P$892,4,0)),"")</f>
        <v/>
      </c>
      <c r="K69" s="212" t="str">
        <f aca="false">IF(A69="NEWCOD",IF(AB69="","Remplir le champs 'Nouveau taxa' svp.",$AB69),IF(ISTEXT($E69),"DEJA SAISI !",IF(A69="","",IF(ISERROR(VLOOKUP($A69,'[1]liste reference'!$A$7:$D$892,2,0)),IF(ISERROR(VLOOKUP($A69,'[1]liste reference'!$B$7:$D$892,1,0)),"code non répertorié ou synonyme",VLOOKUP($A69,'[1]liste reference'!$B$7:$D$892,1,0)),VLOOKUP(A69,'[1]liste reference'!$A$7:$D$892,2,0)))))</f>
        <v/>
      </c>
      <c r="L69" s="229"/>
      <c r="M69" s="229"/>
      <c r="N69" s="229"/>
      <c r="O69" s="214" t="str">
        <f aca="false">IF(AA69="Cf.","Cf.","")</f>
        <v/>
      </c>
      <c r="P69" s="214" t="str">
        <f aca="false">IF($A69="NEWCOD",IF($AC69="","No",$AC69),IF(ISTEXT($E69),"DEJA SAISI !",IF($A69="","",IF(ISERROR(VLOOKUP($A69,'[1]liste reference'!A$1:S$1048576,19,FALSE())),IF(ISERROR(VLOOKUP($A69,'[1]liste reference'!B$1:S$1048576,19,FALSE())),"",VLOOKUP($A69,'[1]liste reference'!B$1:S$1048576,19,FALSE())),VLOOKUP($A69,'[1]liste reference'!A$1:S$1048576,19,FALSE())))))</f>
        <v/>
      </c>
      <c r="Q69" s="215" t="str">
        <f aca="false">IF(ISTEXT(H69),"",(B69*$B$7/100)+(C69*$C$7/100))</f>
        <v/>
      </c>
      <c r="R69" s="216" t="str">
        <f aca="false">IF(OR(ISTEXT(H69),Q69=0),"",IF(Q69&lt;0.1,1,IF(Q69&lt;1,2,IF(Q69&lt;10,3,IF(Q69&lt;50,4,IF(Q69&gt;=50,5,""))))))</f>
        <v/>
      </c>
      <c r="S69" s="216" t="n">
        <f aca="false">IF(ISERROR(R69*I69),0,R69*I69)</f>
        <v>0</v>
      </c>
      <c r="T69" s="216" t="n">
        <f aca="false">IF(ISERROR(R69*I69*J69),0,R69*I69*J69)</f>
        <v>0</v>
      </c>
      <c r="U69" s="230" t="n">
        <f aca="false">IF(ISERROR(R69*J69),0,R69*J69)</f>
        <v>0</v>
      </c>
      <c r="V69" s="217" t="n">
        <v>0</v>
      </c>
      <c r="W69" s="218"/>
      <c r="Y69" s="219" t="str">
        <f aca="false">IF(A69="new.cod","NEWCOD",IF(AND((Z69=""),ISTEXT(A69)),A69,IF(Z69="","",INDEX('[1]liste reference'!$A$7:$A$892,Z69))))</f>
        <v/>
      </c>
      <c r="Z69" s="10" t="str">
        <f aca="false">IF(ISERROR(MATCH(A69,'[1]liste reference'!$A$7:$A$892,0)),IF(ISERROR(MATCH(A69,'[1]liste reference'!$B$7:$B$892,0)),"",(MATCH(A69,'[1]liste reference'!$B$7:$B$892,0))),(MATCH(A69,'[1]liste reference'!$A$7:$A$892,0)))</f>
        <v/>
      </c>
      <c r="AA69" s="220"/>
      <c r="AB69" s="221"/>
      <c r="AC69" s="221"/>
      <c r="BC69" s="10" t="str">
        <f aca="false">IF(A69="","",1)</f>
        <v/>
      </c>
    </row>
    <row r="70" customFormat="false" ht="12.75" hidden="true" customHeight="false" outlineLevel="0" collapsed="false">
      <c r="A70" s="222"/>
      <c r="B70" s="223"/>
      <c r="C70" s="224"/>
      <c r="D70" s="225" t="str">
        <f aca="false">IF(ISERROR(VLOOKUP($A70,'[1]liste reference'!$A$7:$D$892,2,0)),IF(ISERROR(VLOOKUP($A70,'[1]liste reference'!$B$7:$D$892,1,0)),"",VLOOKUP($A70,'[1]liste reference'!$B$7:$D$892,1,0)),VLOOKUP($A70,'[1]liste reference'!$A$7:$D$892,2,0))</f>
        <v/>
      </c>
      <c r="E70" s="225" t="n">
        <f aca="false">IF(D70="",0,VLOOKUP(D70,D$22:D55,1,0))</f>
        <v>0</v>
      </c>
      <c r="F70" s="232" t="n">
        <f aca="false">($B70*$B$7+$C70*$C$7)/100</f>
        <v>0</v>
      </c>
      <c r="G70" s="227" t="str">
        <f aca="false">IF(A70="","",IF(ISERROR(VLOOKUP($A70,'[1]liste reference'!$A$7:$P$892,13,0)),IF(ISERROR(VLOOKUP($A70,'[1]liste reference'!$B$7:$P$892,12,0)),"    -",VLOOKUP($A70,'[1]liste reference'!$B$7:$P$892,12,0)),VLOOKUP($A70,'[1]liste reference'!$A$7:$P$892,13,0)))</f>
        <v/>
      </c>
      <c r="H70" s="209" t="str">
        <f aca="false">IF(A70="","x",IF(ISERROR(VLOOKUP($A70,'[1]liste reference'!$A$7:$P$892,14,0)),IF(ISERROR(VLOOKUP($A70,'[1]liste reference'!$B$7:$P$892,13,0)),"x",VLOOKUP($A70,'[1]liste reference'!$B$7:$P$892,13,0)),VLOOKUP($A70,'[1]liste reference'!$A$7:$P$892,14,0)))</f>
        <v>x</v>
      </c>
      <c r="I70" s="228" t="str">
        <f aca="false">IF(ISNUMBER(H70),IF(ISERROR(VLOOKUP($A70,'[1]liste reference'!$A$7:$P$892,3,0)),IF(ISERROR(VLOOKUP($A70,'[1]liste reference'!$B$7:$P$892,2,0)),"",VLOOKUP($A70,'[1]liste reference'!$B$7:$P$892,2,0)),VLOOKUP($A70,'[1]liste reference'!$A$7:$P$892,3,0)),"")</f>
        <v/>
      </c>
      <c r="J70" s="211" t="str">
        <f aca="false">IF(ISNUMBER(H70),IF(ISERROR(VLOOKUP($A70,'[1]liste reference'!$A$7:$P$892,4,0)),IF(ISERROR(VLOOKUP($A70,'[1]liste reference'!$B$7:$P$892,3,0)),"",VLOOKUP($A70,'[1]liste reference'!$B$7:$P$892,3,0)),VLOOKUP($A70,'[1]liste reference'!$A$7:$P$892,4,0)),"")</f>
        <v/>
      </c>
      <c r="K70" s="212" t="str">
        <f aca="false">IF(A70="NEWCOD",IF(AB70="","Remplir le champs 'Nouveau taxa' svp.",$AB70),IF(ISTEXT($E70),"DEJA SAISI !",IF(A70="","",IF(ISERROR(VLOOKUP($A70,'[1]liste reference'!$A$7:$D$892,2,0)),IF(ISERROR(VLOOKUP($A70,'[1]liste reference'!$B$7:$D$892,1,0)),"code non répertorié ou synonyme",VLOOKUP($A70,'[1]liste reference'!$B$7:$D$892,1,0)),VLOOKUP(A70,'[1]liste reference'!$A$7:$D$892,2,0)))))</f>
        <v/>
      </c>
      <c r="L70" s="229"/>
      <c r="M70" s="229"/>
      <c r="N70" s="229"/>
      <c r="O70" s="214" t="str">
        <f aca="false">IF(AA70="Cf.","Cf.","")</f>
        <v/>
      </c>
      <c r="P70" s="214" t="str">
        <f aca="false">IF($A70="NEWCOD",IF($AC70="","No",$AC70),IF(ISTEXT($E70),"DEJA SAISI !",IF($A70="","",IF(ISERROR(VLOOKUP($A70,'[1]liste reference'!A$1:S$1048576,19,FALSE())),IF(ISERROR(VLOOKUP($A70,'[1]liste reference'!B$1:S$1048576,19,FALSE())),"",VLOOKUP($A70,'[1]liste reference'!B$1:S$1048576,19,FALSE())),VLOOKUP($A70,'[1]liste reference'!A$1:S$1048576,19,FALSE())))))</f>
        <v/>
      </c>
      <c r="Q70" s="215" t="str">
        <f aca="false">IF(ISTEXT(H70),"",(B70*$B$7/100)+(C70*$C$7/100))</f>
        <v/>
      </c>
      <c r="R70" s="216" t="str">
        <f aca="false">IF(OR(ISTEXT(H70),Q70=0),"",IF(Q70&lt;0.1,1,IF(Q70&lt;1,2,IF(Q70&lt;10,3,IF(Q70&lt;50,4,IF(Q70&gt;=50,5,""))))))</f>
        <v/>
      </c>
      <c r="S70" s="216" t="n">
        <f aca="false">IF(ISERROR(R70*I70),0,R70*I70)</f>
        <v>0</v>
      </c>
      <c r="T70" s="216" t="n">
        <f aca="false">IF(ISERROR(R70*I70*J70),0,R70*I70*J70)</f>
        <v>0</v>
      </c>
      <c r="U70" s="230" t="n">
        <f aca="false">IF(ISERROR(R70*J70),0,R70*J70)</f>
        <v>0</v>
      </c>
      <c r="V70" s="217" t="n">
        <v>0</v>
      </c>
      <c r="W70" s="218"/>
      <c r="Y70" s="219" t="str">
        <f aca="false">IF(A70="new.cod","NEWCOD",IF(AND((Z70=""),ISTEXT(A70)),A70,IF(Z70="","",INDEX('[1]liste reference'!$A$7:$A$892,Z70))))</f>
        <v/>
      </c>
      <c r="Z70" s="10" t="str">
        <f aca="false">IF(ISERROR(MATCH(A70,'[1]liste reference'!$A$7:$A$892,0)),IF(ISERROR(MATCH(A70,'[1]liste reference'!$B$7:$B$892,0)),"",(MATCH(A70,'[1]liste reference'!$B$7:$B$892,0))),(MATCH(A70,'[1]liste reference'!$A$7:$A$892,0)))</f>
        <v/>
      </c>
      <c r="AA70" s="220"/>
      <c r="AB70" s="221"/>
      <c r="AC70" s="221"/>
      <c r="BC70" s="10" t="str">
        <f aca="false">IF(A70="","",1)</f>
        <v/>
      </c>
    </row>
    <row r="71" customFormat="false" ht="12.75" hidden="true" customHeight="false" outlineLevel="0" collapsed="false">
      <c r="A71" s="222"/>
      <c r="B71" s="223"/>
      <c r="C71" s="224"/>
      <c r="D71" s="225" t="str">
        <f aca="false">IF(ISERROR(VLOOKUP($A71,'[1]liste reference'!$A$7:$D$892,2,0)),IF(ISERROR(VLOOKUP($A71,'[1]liste reference'!$B$7:$D$892,1,0)),"",VLOOKUP($A71,'[1]liste reference'!$B$7:$D$892,1,0)),VLOOKUP($A71,'[1]liste reference'!$A$7:$D$892,2,0))</f>
        <v/>
      </c>
      <c r="E71" s="225" t="n">
        <f aca="false">IF(D71="",0,VLOOKUP(D71,D$22:D56,1,0))</f>
        <v>0</v>
      </c>
      <c r="F71" s="232" t="n">
        <f aca="false">($B71*$B$7+$C71*$C$7)/100</f>
        <v>0</v>
      </c>
      <c r="G71" s="227" t="str">
        <f aca="false">IF(A71="","",IF(ISERROR(VLOOKUP($A71,'[1]liste reference'!$A$7:$P$892,13,0)),IF(ISERROR(VLOOKUP($A71,'[1]liste reference'!$B$7:$P$892,12,0)),"    -",VLOOKUP($A71,'[1]liste reference'!$B$7:$P$892,12,0)),VLOOKUP($A71,'[1]liste reference'!$A$7:$P$892,13,0)))</f>
        <v/>
      </c>
      <c r="H71" s="209" t="str">
        <f aca="false">IF(A71="","x",IF(ISERROR(VLOOKUP($A71,'[1]liste reference'!$A$7:$P$892,14,0)),IF(ISERROR(VLOOKUP($A71,'[1]liste reference'!$B$7:$P$892,13,0)),"x",VLOOKUP($A71,'[1]liste reference'!$B$7:$P$892,13,0)),VLOOKUP($A71,'[1]liste reference'!$A$7:$P$892,14,0)))</f>
        <v>x</v>
      </c>
      <c r="I71" s="228" t="str">
        <f aca="false">IF(ISNUMBER(H71),IF(ISERROR(VLOOKUP($A71,'[1]liste reference'!$A$7:$P$892,3,0)),IF(ISERROR(VLOOKUP($A71,'[1]liste reference'!$B$7:$P$892,2,0)),"",VLOOKUP($A71,'[1]liste reference'!$B$7:$P$892,2,0)),VLOOKUP($A71,'[1]liste reference'!$A$7:$P$892,3,0)),"")</f>
        <v/>
      </c>
      <c r="J71" s="211" t="str">
        <f aca="false">IF(ISNUMBER(H71),IF(ISERROR(VLOOKUP($A71,'[1]liste reference'!$A$7:$P$892,4,0)),IF(ISERROR(VLOOKUP($A71,'[1]liste reference'!$B$7:$P$892,3,0)),"",VLOOKUP($A71,'[1]liste reference'!$B$7:$P$892,3,0)),VLOOKUP($A71,'[1]liste reference'!$A$7:$P$892,4,0)),"")</f>
        <v/>
      </c>
      <c r="K71" s="212" t="str">
        <f aca="false">IF(A71="NEWCOD",IF(AB71="","Remplir le champs 'Nouveau taxa' svp.",$AB71),IF(ISTEXT($E71),"DEJA SAISI !",IF(A71="","",IF(ISERROR(VLOOKUP($A71,'[1]liste reference'!$A$7:$D$892,2,0)),IF(ISERROR(VLOOKUP($A71,'[1]liste reference'!$B$7:$D$892,1,0)),"code non répertorié ou synonyme",VLOOKUP($A71,'[1]liste reference'!$B$7:$D$892,1,0)),VLOOKUP(A71,'[1]liste reference'!$A$7:$D$892,2,0)))))</f>
        <v/>
      </c>
      <c r="L71" s="229"/>
      <c r="M71" s="229"/>
      <c r="N71" s="229"/>
      <c r="O71" s="214" t="str">
        <f aca="false">IF(AA71="Cf.","Cf.","")</f>
        <v/>
      </c>
      <c r="P71" s="214" t="str">
        <f aca="false">IF($A71="NEWCOD",IF($AC71="","No",$AC71),IF(ISTEXT($E71),"DEJA SAISI !",IF($A71="","",IF(ISERROR(VLOOKUP($A71,'[1]liste reference'!A$1:S$1048576,19,FALSE())),IF(ISERROR(VLOOKUP($A71,'[1]liste reference'!B$1:S$1048576,19,FALSE())),"",VLOOKUP($A71,'[1]liste reference'!B$1:S$1048576,19,FALSE())),VLOOKUP($A71,'[1]liste reference'!A$1:S$1048576,19,FALSE())))))</f>
        <v/>
      </c>
      <c r="Q71" s="215" t="str">
        <f aca="false">IF(ISTEXT(H71),"",(B71*$B$7/100)+(C71*$C$7/100))</f>
        <v/>
      </c>
      <c r="R71" s="216" t="str">
        <f aca="false">IF(OR(ISTEXT(H71),Q71=0),"",IF(Q71&lt;0.1,1,IF(Q71&lt;1,2,IF(Q71&lt;10,3,IF(Q71&lt;50,4,IF(Q71&gt;=50,5,""))))))</f>
        <v/>
      </c>
      <c r="S71" s="216" t="n">
        <f aca="false">IF(ISERROR(R71*I71),0,R71*I71)</f>
        <v>0</v>
      </c>
      <c r="T71" s="216" t="n">
        <f aca="false">IF(ISERROR(R71*I71*J71),0,R71*I71*J71)</f>
        <v>0</v>
      </c>
      <c r="U71" s="230" t="n">
        <f aca="false">IF(ISERROR(R71*J71),0,R71*J71)</f>
        <v>0</v>
      </c>
      <c r="V71" s="217" t="n">
        <v>0</v>
      </c>
      <c r="W71" s="218"/>
      <c r="Y71" s="219" t="str">
        <f aca="false">IF(A71="new.cod","NEWCOD",IF(AND((Z71=""),ISTEXT(A71)),A71,IF(Z71="","",INDEX('[1]liste reference'!$A$7:$A$892,Z71))))</f>
        <v/>
      </c>
      <c r="Z71" s="10" t="str">
        <f aca="false">IF(ISERROR(MATCH(A71,'[1]liste reference'!$A$7:$A$892,0)),IF(ISERROR(MATCH(A71,'[1]liste reference'!$B$7:$B$892,0)),"",(MATCH(A71,'[1]liste reference'!$B$7:$B$892,0))),(MATCH(A71,'[1]liste reference'!$A$7:$A$892,0)))</f>
        <v/>
      </c>
      <c r="AA71" s="220"/>
      <c r="AB71" s="221"/>
      <c r="AC71" s="221"/>
      <c r="BC71" s="10" t="str">
        <f aca="false">IF(A71="","",1)</f>
        <v/>
      </c>
    </row>
    <row r="72" customFormat="false" ht="12.75" hidden="true" customHeight="false" outlineLevel="0" collapsed="false">
      <c r="A72" s="222"/>
      <c r="B72" s="223"/>
      <c r="C72" s="224"/>
      <c r="D72" s="225" t="str">
        <f aca="false">IF(ISERROR(VLOOKUP($A72,'[1]liste reference'!$A$7:$D$892,2,0)),IF(ISERROR(VLOOKUP($A72,'[1]liste reference'!$B$7:$D$892,1,0)),"",VLOOKUP($A72,'[1]liste reference'!$B$7:$D$892,1,0)),VLOOKUP($A72,'[1]liste reference'!$A$7:$D$892,2,0))</f>
        <v/>
      </c>
      <c r="E72" s="225" t="n">
        <f aca="false">IF(D72="",0,VLOOKUP(D72,D$22:D57,1,0))</f>
        <v>0</v>
      </c>
      <c r="F72" s="232" t="n">
        <f aca="false">($B72*$B$7+$C72*$C$7)/100</f>
        <v>0</v>
      </c>
      <c r="G72" s="227" t="str">
        <f aca="false">IF(A72="","",IF(ISERROR(VLOOKUP($A72,'[1]liste reference'!$A$7:$P$892,13,0)),IF(ISERROR(VLOOKUP($A72,'[1]liste reference'!$B$7:$P$892,12,0)),"    -",VLOOKUP($A72,'[1]liste reference'!$B$7:$P$892,12,0)),VLOOKUP($A72,'[1]liste reference'!$A$7:$P$892,13,0)))</f>
        <v/>
      </c>
      <c r="H72" s="209" t="str">
        <f aca="false">IF(A72="","x",IF(ISERROR(VLOOKUP($A72,'[1]liste reference'!$A$7:$P$892,14,0)),IF(ISERROR(VLOOKUP($A72,'[1]liste reference'!$B$7:$P$892,13,0)),"x",VLOOKUP($A72,'[1]liste reference'!$B$7:$P$892,13,0)),VLOOKUP($A72,'[1]liste reference'!$A$7:$P$892,14,0)))</f>
        <v>x</v>
      </c>
      <c r="I72" s="228" t="str">
        <f aca="false">IF(ISNUMBER(H72),IF(ISERROR(VLOOKUP($A72,'[1]liste reference'!$A$7:$P$892,3,0)),IF(ISERROR(VLOOKUP($A72,'[1]liste reference'!$B$7:$P$892,2,0)),"",VLOOKUP($A72,'[1]liste reference'!$B$7:$P$892,2,0)),VLOOKUP($A72,'[1]liste reference'!$A$7:$P$892,3,0)),"")</f>
        <v/>
      </c>
      <c r="J72" s="211" t="str">
        <f aca="false">IF(ISNUMBER(H72),IF(ISERROR(VLOOKUP($A72,'[1]liste reference'!$A$7:$P$892,4,0)),IF(ISERROR(VLOOKUP($A72,'[1]liste reference'!$B$7:$P$892,3,0)),"",VLOOKUP($A72,'[1]liste reference'!$B$7:$P$892,3,0)),VLOOKUP($A72,'[1]liste reference'!$A$7:$P$892,4,0)),"")</f>
        <v/>
      </c>
      <c r="K72" s="212" t="str">
        <f aca="false">IF(A72="NEWCOD",IF(AB72="","Remplir le champs 'Nouveau taxa' svp.",$AB72),IF(ISTEXT($E72),"DEJA SAISI !",IF(A72="","",IF(ISERROR(VLOOKUP($A72,'[1]liste reference'!$A$7:$D$892,2,0)),IF(ISERROR(VLOOKUP($A72,'[1]liste reference'!$B$7:$D$892,1,0)),"code non répertorié ou synonyme",VLOOKUP($A72,'[1]liste reference'!$B$7:$D$892,1,0)),VLOOKUP(A72,'[1]liste reference'!$A$7:$D$892,2,0)))))</f>
        <v/>
      </c>
      <c r="L72" s="229"/>
      <c r="M72" s="229"/>
      <c r="N72" s="229"/>
      <c r="O72" s="214" t="str">
        <f aca="false">IF(AA72="Cf.","Cf.","")</f>
        <v/>
      </c>
      <c r="P72" s="214" t="str">
        <f aca="false">IF($A72="NEWCOD",IF($AC72="","No",$AC72),IF(ISTEXT($E72),"DEJA SAISI !",IF($A72="","",IF(ISERROR(VLOOKUP($A72,'[1]liste reference'!A$1:S$1048576,19,FALSE())),IF(ISERROR(VLOOKUP($A72,'[1]liste reference'!B$1:S$1048576,19,FALSE())),"",VLOOKUP($A72,'[1]liste reference'!B$1:S$1048576,19,FALSE())),VLOOKUP($A72,'[1]liste reference'!A$1:S$1048576,19,FALSE())))))</f>
        <v/>
      </c>
      <c r="Q72" s="215" t="str">
        <f aca="false">IF(ISTEXT(H72),"",(B72*$B$7/100)+(C72*$C$7/100))</f>
        <v/>
      </c>
      <c r="R72" s="216" t="str">
        <f aca="false">IF(OR(ISTEXT(H72),Q72=0),"",IF(Q72&lt;0.1,1,IF(Q72&lt;1,2,IF(Q72&lt;10,3,IF(Q72&lt;50,4,IF(Q72&gt;=50,5,""))))))</f>
        <v/>
      </c>
      <c r="S72" s="216" t="n">
        <f aca="false">IF(ISERROR(R72*I72),0,R72*I72)</f>
        <v>0</v>
      </c>
      <c r="T72" s="216" t="n">
        <f aca="false">IF(ISERROR(R72*I72*J72),0,R72*I72*J72)</f>
        <v>0</v>
      </c>
      <c r="U72" s="230" t="n">
        <f aca="false">IF(ISERROR(R72*J72),0,R72*J72)</f>
        <v>0</v>
      </c>
      <c r="V72" s="217" t="n">
        <v>0</v>
      </c>
      <c r="W72" s="218"/>
      <c r="Y72" s="219" t="str">
        <f aca="false">IF(A72="new.cod","NEWCOD",IF(AND((Z72=""),ISTEXT(A72)),A72,IF(Z72="","",INDEX('[1]liste reference'!$A$7:$A$892,Z72))))</f>
        <v/>
      </c>
      <c r="Z72" s="10" t="str">
        <f aca="false">IF(ISERROR(MATCH(A72,'[1]liste reference'!$A$7:$A$892,0)),IF(ISERROR(MATCH(A72,'[1]liste reference'!$B$7:$B$892,0)),"",(MATCH(A72,'[1]liste reference'!$B$7:$B$892,0))),(MATCH(A72,'[1]liste reference'!$A$7:$A$892,0)))</f>
        <v/>
      </c>
      <c r="AA72" s="220"/>
      <c r="AB72" s="221"/>
      <c r="AC72" s="221"/>
      <c r="BC72" s="10" t="str">
        <f aca="false">IF(A72="","",1)</f>
        <v/>
      </c>
    </row>
    <row r="73" customFormat="false" ht="12.75" hidden="true" customHeight="false" outlineLevel="0" collapsed="false">
      <c r="A73" s="222"/>
      <c r="B73" s="223"/>
      <c r="C73" s="224"/>
      <c r="D73" s="225" t="str">
        <f aca="false">IF(ISERROR(VLOOKUP($A73,'[1]liste reference'!$A$7:$D$892,2,0)),IF(ISERROR(VLOOKUP($A73,'[1]liste reference'!$B$7:$D$892,1,0)),"",VLOOKUP($A73,'[1]liste reference'!$B$7:$D$892,1,0)),VLOOKUP($A73,'[1]liste reference'!$A$7:$D$892,2,0))</f>
        <v/>
      </c>
      <c r="E73" s="225" t="n">
        <f aca="false">IF(D73="",0,VLOOKUP(D73,D$22:D57,1,0))</f>
        <v>0</v>
      </c>
      <c r="F73" s="232" t="n">
        <f aca="false">($B73*$B$7+$C73*$C$7)/100</f>
        <v>0</v>
      </c>
      <c r="G73" s="227" t="str">
        <f aca="false">IF(A73="","",IF(ISERROR(VLOOKUP($A73,'[1]liste reference'!$A$7:$P$892,13,0)),IF(ISERROR(VLOOKUP($A73,'[1]liste reference'!$B$7:$P$892,12,0)),"    -",VLOOKUP($A73,'[1]liste reference'!$B$7:$P$892,12,0)),VLOOKUP($A73,'[1]liste reference'!$A$7:$P$892,13,0)))</f>
        <v/>
      </c>
      <c r="H73" s="209" t="str">
        <f aca="false">IF(A73="","x",IF(ISERROR(VLOOKUP($A73,'[1]liste reference'!$A$7:$P$892,14,0)),IF(ISERROR(VLOOKUP($A73,'[1]liste reference'!$B$7:$P$892,13,0)),"x",VLOOKUP($A73,'[1]liste reference'!$B$7:$P$892,13,0)),VLOOKUP($A73,'[1]liste reference'!$A$7:$P$892,14,0)))</f>
        <v>x</v>
      </c>
      <c r="I73" s="228" t="str">
        <f aca="false">IF(ISNUMBER(H73),IF(ISERROR(VLOOKUP($A73,'[1]liste reference'!$A$7:$P$892,3,0)),IF(ISERROR(VLOOKUP($A73,'[1]liste reference'!$B$7:$P$892,2,0)),"",VLOOKUP($A73,'[1]liste reference'!$B$7:$P$892,2,0)),VLOOKUP($A73,'[1]liste reference'!$A$7:$P$892,3,0)),"")</f>
        <v/>
      </c>
      <c r="J73" s="211" t="str">
        <f aca="false">IF(ISNUMBER(H73),IF(ISERROR(VLOOKUP($A73,'[1]liste reference'!$A$7:$P$892,4,0)),IF(ISERROR(VLOOKUP($A73,'[1]liste reference'!$B$7:$P$892,3,0)),"",VLOOKUP($A73,'[1]liste reference'!$B$7:$P$892,3,0)),VLOOKUP($A73,'[1]liste reference'!$A$7:$P$892,4,0)),"")</f>
        <v/>
      </c>
      <c r="K73" s="212" t="str">
        <f aca="false">IF(A73="NEWCOD",IF(AB73="","Remplir le champs 'Nouveau taxa' svp.",$AB73),IF(ISTEXT($E73),"DEJA SAISI !",IF(A73="","",IF(ISERROR(VLOOKUP($A73,'[1]liste reference'!$A$7:$D$892,2,0)),IF(ISERROR(VLOOKUP($A73,'[1]liste reference'!$B$7:$D$892,1,0)),"code non répertorié ou synonyme",VLOOKUP($A73,'[1]liste reference'!$B$7:$D$892,1,0)),VLOOKUP(A73,'[1]liste reference'!$A$7:$D$892,2,0)))))</f>
        <v/>
      </c>
      <c r="L73" s="229"/>
      <c r="M73" s="229"/>
      <c r="N73" s="229"/>
      <c r="O73" s="214" t="str">
        <f aca="false">IF(AA73="Cf.","Cf.","")</f>
        <v/>
      </c>
      <c r="P73" s="214" t="str">
        <f aca="false">IF($A73="NEWCOD",IF($AC73="","No",$AC73),IF(ISTEXT($E73),"DEJA SAISI !",IF($A73="","",IF(ISERROR(VLOOKUP($A73,'[1]liste reference'!A$1:S$1048576,19,FALSE())),IF(ISERROR(VLOOKUP($A73,'[1]liste reference'!B$1:S$1048576,19,FALSE())),"",VLOOKUP($A73,'[1]liste reference'!B$1:S$1048576,19,FALSE())),VLOOKUP($A73,'[1]liste reference'!A$1:S$1048576,19,FALSE())))))</f>
        <v/>
      </c>
      <c r="Q73" s="215" t="str">
        <f aca="false">IF(ISTEXT(H73),"",(B73*$B$7/100)+(C73*$C$7/100))</f>
        <v/>
      </c>
      <c r="R73" s="216" t="str">
        <f aca="false">IF(OR(ISTEXT(H73),Q73=0),"",IF(Q73&lt;0.1,1,IF(Q73&lt;1,2,IF(Q73&lt;10,3,IF(Q73&lt;50,4,IF(Q73&gt;=50,5,""))))))</f>
        <v/>
      </c>
      <c r="S73" s="216" t="n">
        <f aca="false">IF(ISERROR(R73*I73),0,R73*I73)</f>
        <v>0</v>
      </c>
      <c r="T73" s="216" t="n">
        <f aca="false">IF(ISERROR(R73*I73*J73),0,R73*I73*J73)</f>
        <v>0</v>
      </c>
      <c r="U73" s="230" t="n">
        <f aca="false">IF(ISERROR(R73*J73),0,R73*J73)</f>
        <v>0</v>
      </c>
      <c r="V73" s="217" t="n">
        <v>0</v>
      </c>
      <c r="W73" s="218"/>
      <c r="Y73" s="219" t="str">
        <f aca="false">IF(A73="new.cod","NEWCOD",IF(AND((Z73=""),ISTEXT(A73)),A73,IF(Z73="","",INDEX('[1]liste reference'!$A$7:$A$892,Z73))))</f>
        <v/>
      </c>
      <c r="Z73" s="10" t="str">
        <f aca="false">IF(ISERROR(MATCH(A73,'[1]liste reference'!$A$7:$A$892,0)),IF(ISERROR(MATCH(A73,'[1]liste reference'!$B$7:$B$892,0)),"",(MATCH(A73,'[1]liste reference'!$B$7:$B$892,0))),(MATCH(A73,'[1]liste reference'!$A$7:$A$892,0)))</f>
        <v/>
      </c>
      <c r="AA73" s="220"/>
      <c r="AB73" s="221"/>
      <c r="AC73" s="221"/>
      <c r="BC73" s="10" t="str">
        <f aca="false">IF(A73="","",1)</f>
        <v/>
      </c>
    </row>
    <row r="74" customFormat="false" ht="12.75" hidden="true" customHeight="false" outlineLevel="0" collapsed="false">
      <c r="A74" s="222"/>
      <c r="B74" s="223"/>
      <c r="C74" s="224"/>
      <c r="D74" s="225" t="str">
        <f aca="false">IF(ISERROR(VLOOKUP($A74,'[1]liste reference'!$A$7:$D$892,2,0)),IF(ISERROR(VLOOKUP($A74,'[1]liste reference'!$B$7:$D$892,1,0)),"",VLOOKUP($A74,'[1]liste reference'!$B$7:$D$892,1,0)),VLOOKUP($A74,'[1]liste reference'!$A$7:$D$892,2,0))</f>
        <v/>
      </c>
      <c r="E74" s="225" t="n">
        <f aca="false">IF(D74="",0,VLOOKUP(D74,D$22:D58,1,0))</f>
        <v>0</v>
      </c>
      <c r="F74" s="232" t="n">
        <f aca="false">($B74*$B$7+$C74*$C$7)/100</f>
        <v>0</v>
      </c>
      <c r="G74" s="227" t="str">
        <f aca="false">IF(A74="","",IF(ISERROR(VLOOKUP($A74,'[1]liste reference'!$A$7:$P$892,13,0)),IF(ISERROR(VLOOKUP($A74,'[1]liste reference'!$B$7:$P$892,12,0)),"    -",VLOOKUP($A74,'[1]liste reference'!$B$7:$P$892,12,0)),VLOOKUP($A74,'[1]liste reference'!$A$7:$P$892,13,0)))</f>
        <v/>
      </c>
      <c r="H74" s="209" t="str">
        <f aca="false">IF(A74="","x",IF(ISERROR(VLOOKUP($A74,'[1]liste reference'!$A$7:$P$892,14,0)),IF(ISERROR(VLOOKUP($A74,'[1]liste reference'!$B$7:$P$892,13,0)),"x",VLOOKUP($A74,'[1]liste reference'!$B$7:$P$892,13,0)),VLOOKUP($A74,'[1]liste reference'!$A$7:$P$892,14,0)))</f>
        <v>x</v>
      </c>
      <c r="I74" s="228" t="str">
        <f aca="false">IF(ISNUMBER(H74),IF(ISERROR(VLOOKUP($A74,'[1]liste reference'!$A$7:$P$892,3,0)),IF(ISERROR(VLOOKUP($A74,'[1]liste reference'!$B$7:$P$892,2,0)),"",VLOOKUP($A74,'[1]liste reference'!$B$7:$P$892,2,0)),VLOOKUP($A74,'[1]liste reference'!$A$7:$P$892,3,0)),"")</f>
        <v/>
      </c>
      <c r="J74" s="211" t="str">
        <f aca="false">IF(ISNUMBER(H74),IF(ISERROR(VLOOKUP($A74,'[1]liste reference'!$A$7:$P$892,4,0)),IF(ISERROR(VLOOKUP($A74,'[1]liste reference'!$B$7:$P$892,3,0)),"",VLOOKUP($A74,'[1]liste reference'!$B$7:$P$892,3,0)),VLOOKUP($A74,'[1]liste reference'!$A$7:$P$892,4,0)),"")</f>
        <v/>
      </c>
      <c r="K74" s="212" t="str">
        <f aca="false">IF(A74="NEWCOD",IF(AB74="","Remplir le champs 'Nouveau taxa' svp.",$AB74),IF(ISTEXT($E74),"DEJA SAISI !",IF(A74="","",IF(ISERROR(VLOOKUP($A74,'[1]liste reference'!$A$7:$D$892,2,0)),IF(ISERROR(VLOOKUP($A74,'[1]liste reference'!$B$7:$D$892,1,0)),"code non répertorié ou synonyme",VLOOKUP($A74,'[1]liste reference'!$B$7:$D$892,1,0)),VLOOKUP(A74,'[1]liste reference'!$A$7:$D$892,2,0)))))</f>
        <v/>
      </c>
      <c r="L74" s="229"/>
      <c r="M74" s="229"/>
      <c r="N74" s="229"/>
      <c r="O74" s="214" t="str">
        <f aca="false">IF(AA74="Cf.","Cf.","")</f>
        <v/>
      </c>
      <c r="P74" s="214" t="str">
        <f aca="false">IF($A74="NEWCOD",IF($AC74="","No",$AC74),IF(ISTEXT($E74),"DEJA SAISI !",IF($A74="","",IF(ISERROR(VLOOKUP($A74,'[1]liste reference'!A$1:S$1048576,19,FALSE())),IF(ISERROR(VLOOKUP($A74,'[1]liste reference'!B$1:S$1048576,19,FALSE())),"",VLOOKUP($A74,'[1]liste reference'!B$1:S$1048576,19,FALSE())),VLOOKUP($A74,'[1]liste reference'!A$1:S$1048576,19,FALSE())))))</f>
        <v/>
      </c>
      <c r="Q74" s="215" t="str">
        <f aca="false">IF(ISTEXT(H74),"",(B74*$B$7/100)+(C74*$C$7/100))</f>
        <v/>
      </c>
      <c r="R74" s="216" t="str">
        <f aca="false">IF(OR(ISTEXT(H74),Q74=0),"",IF(Q74&lt;0.1,1,IF(Q74&lt;1,2,IF(Q74&lt;10,3,IF(Q74&lt;50,4,IF(Q74&gt;=50,5,""))))))</f>
        <v/>
      </c>
      <c r="S74" s="216" t="n">
        <f aca="false">IF(ISERROR(R74*I74),0,R74*I74)</f>
        <v>0</v>
      </c>
      <c r="T74" s="216" t="n">
        <f aca="false">IF(ISERROR(R74*I74*J74),0,R74*I74*J74)</f>
        <v>0</v>
      </c>
      <c r="U74" s="230" t="n">
        <f aca="false">IF(ISERROR(R74*J74),0,R74*J74)</f>
        <v>0</v>
      </c>
      <c r="V74" s="217" t="n">
        <v>0</v>
      </c>
      <c r="W74" s="218"/>
      <c r="Y74" s="219" t="str">
        <f aca="false">IF(A74="new.cod","NEWCOD",IF(AND((Z74=""),ISTEXT(A74)),A74,IF(Z74="","",INDEX('[1]liste reference'!$A$7:$A$892,Z74))))</f>
        <v/>
      </c>
      <c r="Z74" s="10" t="str">
        <f aca="false">IF(ISERROR(MATCH(A74,'[1]liste reference'!$A$7:$A$892,0)),IF(ISERROR(MATCH(A74,'[1]liste reference'!$B$7:$B$892,0)),"",(MATCH(A74,'[1]liste reference'!$B$7:$B$892,0))),(MATCH(A74,'[1]liste reference'!$A$7:$A$892,0)))</f>
        <v/>
      </c>
      <c r="AA74" s="220"/>
      <c r="AB74" s="221"/>
      <c r="AC74" s="221"/>
      <c r="BC74" s="10" t="str">
        <f aca="false">IF(A74="","",1)</f>
        <v/>
      </c>
    </row>
    <row r="75" customFormat="false" ht="12.75" hidden="true" customHeight="false" outlineLevel="0" collapsed="false">
      <c r="A75" s="222"/>
      <c r="B75" s="223"/>
      <c r="C75" s="224"/>
      <c r="D75" s="225" t="str">
        <f aca="false">IF(ISERROR(VLOOKUP($A75,'[1]liste reference'!$A$7:$D$892,2,0)),IF(ISERROR(VLOOKUP($A75,'[1]liste reference'!$B$7:$D$892,1,0)),"",VLOOKUP($A75,'[1]liste reference'!$B$7:$D$892,1,0)),VLOOKUP($A75,'[1]liste reference'!$A$7:$D$892,2,0))</f>
        <v/>
      </c>
      <c r="E75" s="225" t="n">
        <f aca="false">IF(D75="",0,VLOOKUP(D75,D$22:D59,1,0))</f>
        <v>0</v>
      </c>
      <c r="F75" s="232" t="n">
        <f aca="false">($B75*$B$7+$C75*$C$7)/100</f>
        <v>0</v>
      </c>
      <c r="G75" s="227" t="str">
        <f aca="false">IF(A75="","",IF(ISERROR(VLOOKUP($A75,'[1]liste reference'!$A$7:$P$892,13,0)),IF(ISERROR(VLOOKUP($A75,'[1]liste reference'!$B$7:$P$892,12,0)),"    -",VLOOKUP($A75,'[1]liste reference'!$B$7:$P$892,12,0)),VLOOKUP($A75,'[1]liste reference'!$A$7:$P$892,13,0)))</f>
        <v/>
      </c>
      <c r="H75" s="209" t="str">
        <f aca="false">IF(A75="","x",IF(ISERROR(VLOOKUP($A75,'[1]liste reference'!$A$7:$P$892,14,0)),IF(ISERROR(VLOOKUP($A75,'[1]liste reference'!$B$7:$P$892,13,0)),"x",VLOOKUP($A75,'[1]liste reference'!$B$7:$P$892,13,0)),VLOOKUP($A75,'[1]liste reference'!$A$7:$P$892,14,0)))</f>
        <v>x</v>
      </c>
      <c r="I75" s="228" t="str">
        <f aca="false">IF(ISNUMBER(H75),IF(ISERROR(VLOOKUP($A75,'[1]liste reference'!$A$7:$P$892,3,0)),IF(ISERROR(VLOOKUP($A75,'[1]liste reference'!$B$7:$P$892,2,0)),"",VLOOKUP($A75,'[1]liste reference'!$B$7:$P$892,2,0)),VLOOKUP($A75,'[1]liste reference'!$A$7:$P$892,3,0)),"")</f>
        <v/>
      </c>
      <c r="J75" s="211" t="str">
        <f aca="false">IF(ISNUMBER(H75),IF(ISERROR(VLOOKUP($A75,'[1]liste reference'!$A$7:$P$892,4,0)),IF(ISERROR(VLOOKUP($A75,'[1]liste reference'!$B$7:$P$892,3,0)),"",VLOOKUP($A75,'[1]liste reference'!$B$7:$P$892,3,0)),VLOOKUP($A75,'[1]liste reference'!$A$7:$P$892,4,0)),"")</f>
        <v/>
      </c>
      <c r="K75" s="212" t="str">
        <f aca="false">IF(A75="NEWCOD",IF(AB75="","Remplir le champs 'Nouveau taxa' svp.",$AB75),IF(ISTEXT($E75),"DEJA SAISI !",IF(A75="","",IF(ISERROR(VLOOKUP($A75,'[1]liste reference'!$A$7:$D$892,2,0)),IF(ISERROR(VLOOKUP($A75,'[1]liste reference'!$B$7:$D$892,1,0)),"code non répertorié ou synonyme",VLOOKUP($A75,'[1]liste reference'!$B$7:$D$892,1,0)),VLOOKUP(A75,'[1]liste reference'!$A$7:$D$892,2,0)))))</f>
        <v/>
      </c>
      <c r="L75" s="229"/>
      <c r="M75" s="229"/>
      <c r="N75" s="229"/>
      <c r="O75" s="214" t="str">
        <f aca="false">IF(AA75="Cf.","Cf.","")</f>
        <v/>
      </c>
      <c r="P75" s="214" t="str">
        <f aca="false">IF($A75="NEWCOD",IF($AC75="","No",$AC75),IF(ISTEXT($E75),"DEJA SAISI !",IF($A75="","",IF(ISERROR(VLOOKUP($A75,'[1]liste reference'!A$1:S$1048576,19,FALSE())),IF(ISERROR(VLOOKUP($A75,'[1]liste reference'!B$1:S$1048576,19,FALSE())),"",VLOOKUP($A75,'[1]liste reference'!B$1:S$1048576,19,FALSE())),VLOOKUP($A75,'[1]liste reference'!A$1:S$1048576,19,FALSE())))))</f>
        <v/>
      </c>
      <c r="Q75" s="215" t="str">
        <f aca="false">IF(ISTEXT(H75),"",(B75*$B$7/100)+(C75*$C$7/100))</f>
        <v/>
      </c>
      <c r="R75" s="216" t="str">
        <f aca="false">IF(OR(ISTEXT(H75),Q75=0),"",IF(Q75&lt;0.1,1,IF(Q75&lt;1,2,IF(Q75&lt;10,3,IF(Q75&lt;50,4,IF(Q75&gt;=50,5,""))))))</f>
        <v/>
      </c>
      <c r="S75" s="216" t="n">
        <f aca="false">IF(ISERROR(R75*I75),0,R75*I75)</f>
        <v>0</v>
      </c>
      <c r="T75" s="216" t="n">
        <f aca="false">IF(ISERROR(R75*I75*J75),0,R75*I75*J75)</f>
        <v>0</v>
      </c>
      <c r="U75" s="230" t="n">
        <f aca="false">IF(ISERROR(R75*J75),0,R75*J75)</f>
        <v>0</v>
      </c>
      <c r="V75" s="217" t="n">
        <v>0</v>
      </c>
      <c r="W75" s="218"/>
      <c r="Y75" s="219" t="str">
        <f aca="false">IF(A75="new.cod","NEWCOD",IF(AND((Z75=""),ISTEXT(A75)),A75,IF(Z75="","",INDEX('[1]liste reference'!$A$7:$A$892,Z75))))</f>
        <v/>
      </c>
      <c r="Z75" s="10" t="str">
        <f aca="false">IF(ISERROR(MATCH(A75,'[1]liste reference'!$A$7:$A$892,0)),IF(ISERROR(MATCH(A75,'[1]liste reference'!$B$7:$B$892,0)),"",(MATCH(A75,'[1]liste reference'!$B$7:$B$892,0))),(MATCH(A75,'[1]liste reference'!$A$7:$A$892,0)))</f>
        <v/>
      </c>
      <c r="AA75" s="220"/>
      <c r="AB75" s="221"/>
      <c r="AC75" s="221"/>
      <c r="BC75" s="10" t="str">
        <f aca="false">IF(A75="","",1)</f>
        <v/>
      </c>
    </row>
    <row r="76" customFormat="false" ht="12.75" hidden="true" customHeight="false" outlineLevel="0" collapsed="false">
      <c r="A76" s="222"/>
      <c r="B76" s="223"/>
      <c r="C76" s="224"/>
      <c r="D76" s="225" t="str">
        <f aca="false">IF(ISERROR(VLOOKUP($A76,'[1]liste reference'!$A$7:$D$892,2,0)),IF(ISERROR(VLOOKUP($A76,'[1]liste reference'!$B$7:$D$892,1,0)),"",VLOOKUP($A76,'[1]liste reference'!$B$7:$D$892,1,0)),VLOOKUP($A76,'[1]liste reference'!$A$7:$D$892,2,0))</f>
        <v/>
      </c>
      <c r="E76" s="225" t="n">
        <f aca="false">IF(D76="",0,VLOOKUP(D76,D$22:D59,1,0))</f>
        <v>0</v>
      </c>
      <c r="F76" s="232" t="n">
        <f aca="false">($B76*$B$7+$C76*$C$7)/100</f>
        <v>0</v>
      </c>
      <c r="G76" s="227" t="str">
        <f aca="false">IF(A76="","",IF(ISERROR(VLOOKUP($A76,'[1]liste reference'!$A$7:$P$892,13,0)),IF(ISERROR(VLOOKUP($A76,'[1]liste reference'!$B$7:$P$892,12,0)),"    -",VLOOKUP($A76,'[1]liste reference'!$B$7:$P$892,12,0)),VLOOKUP($A76,'[1]liste reference'!$A$7:$P$892,13,0)))</f>
        <v/>
      </c>
      <c r="H76" s="209" t="str">
        <f aca="false">IF(A76="","x",IF(ISERROR(VLOOKUP($A76,'[1]liste reference'!$A$7:$P$892,14,0)),IF(ISERROR(VLOOKUP($A76,'[1]liste reference'!$B$7:$P$892,13,0)),"x",VLOOKUP($A76,'[1]liste reference'!$B$7:$P$892,13,0)),VLOOKUP($A76,'[1]liste reference'!$A$7:$P$892,14,0)))</f>
        <v>x</v>
      </c>
      <c r="I76" s="228" t="str">
        <f aca="false">IF(ISNUMBER(H76),IF(ISERROR(VLOOKUP($A76,'[1]liste reference'!$A$7:$P$892,3,0)),IF(ISERROR(VLOOKUP($A76,'[1]liste reference'!$B$7:$P$892,2,0)),"",VLOOKUP($A76,'[1]liste reference'!$B$7:$P$892,2,0)),VLOOKUP($A76,'[1]liste reference'!$A$7:$P$892,3,0)),"")</f>
        <v/>
      </c>
      <c r="J76" s="211" t="str">
        <f aca="false">IF(ISNUMBER(H76),IF(ISERROR(VLOOKUP($A76,'[1]liste reference'!$A$7:$P$892,4,0)),IF(ISERROR(VLOOKUP($A76,'[1]liste reference'!$B$7:$P$892,3,0)),"",VLOOKUP($A76,'[1]liste reference'!$B$7:$P$892,3,0)),VLOOKUP($A76,'[1]liste reference'!$A$7:$P$892,4,0)),"")</f>
        <v/>
      </c>
      <c r="K76" s="212" t="str">
        <f aca="false">IF(A76="NEWCOD",IF(AB76="","Remplir le champs 'Nouveau taxa' svp.",$AB76),IF(ISTEXT($E76),"DEJA SAISI !",IF(A76="","",IF(ISERROR(VLOOKUP($A76,'[1]liste reference'!$A$7:$D$892,2,0)),IF(ISERROR(VLOOKUP($A76,'[1]liste reference'!$B$7:$D$892,1,0)),"code non répertorié ou synonyme",VLOOKUP($A76,'[1]liste reference'!$B$7:$D$892,1,0)),VLOOKUP(A76,'[1]liste reference'!$A$7:$D$892,2,0)))))</f>
        <v/>
      </c>
      <c r="L76" s="229"/>
      <c r="M76" s="229"/>
      <c r="N76" s="229"/>
      <c r="O76" s="214" t="str">
        <f aca="false">IF(AA76="Cf.","Cf.","")</f>
        <v/>
      </c>
      <c r="P76" s="214" t="str">
        <f aca="false">IF($A76="NEWCOD",IF($AC76="","No",$AC76),IF(ISTEXT($E76),"DEJA SAISI !",IF($A76="","",IF(ISERROR(VLOOKUP($A76,'[1]liste reference'!A$1:S$1048576,19,FALSE())),IF(ISERROR(VLOOKUP($A76,'[1]liste reference'!B$1:S$1048576,19,FALSE())),"",VLOOKUP($A76,'[1]liste reference'!B$1:S$1048576,19,FALSE())),VLOOKUP($A76,'[1]liste reference'!A$1:S$1048576,19,FALSE())))))</f>
        <v/>
      </c>
      <c r="Q76" s="215" t="str">
        <f aca="false">IF(ISTEXT(H76),"",(B76*$B$7/100)+(C76*$C$7/100))</f>
        <v/>
      </c>
      <c r="R76" s="216" t="str">
        <f aca="false">IF(OR(ISTEXT(H76),Q76=0),"",IF(Q76&lt;0.1,1,IF(Q76&lt;1,2,IF(Q76&lt;10,3,IF(Q76&lt;50,4,IF(Q76&gt;=50,5,""))))))</f>
        <v/>
      </c>
      <c r="S76" s="216" t="n">
        <f aca="false">IF(ISERROR(R76*I76),0,R76*I76)</f>
        <v>0</v>
      </c>
      <c r="T76" s="216" t="n">
        <f aca="false">IF(ISERROR(R76*I76*J76),0,R76*I76*J76)</f>
        <v>0</v>
      </c>
      <c r="U76" s="230" t="n">
        <f aca="false">IF(ISERROR(R76*J76),0,R76*J76)</f>
        <v>0</v>
      </c>
      <c r="V76" s="217" t="n">
        <v>0</v>
      </c>
      <c r="W76" s="218"/>
      <c r="Y76" s="219" t="str">
        <f aca="false">IF(A76="new.cod","NEWCOD",IF(AND((Z76=""),ISTEXT(A76)),A76,IF(Z76="","",INDEX('[1]liste reference'!$A$7:$A$892,Z76))))</f>
        <v/>
      </c>
      <c r="Z76" s="10" t="str">
        <f aca="false">IF(ISERROR(MATCH(A76,'[1]liste reference'!$A$7:$A$892,0)),IF(ISERROR(MATCH(A76,'[1]liste reference'!$B$7:$B$892,0)),"",(MATCH(A76,'[1]liste reference'!$B$7:$B$892,0))),(MATCH(A76,'[1]liste reference'!$A$7:$A$892,0)))</f>
        <v/>
      </c>
      <c r="AA76" s="220"/>
      <c r="AB76" s="221"/>
      <c r="AC76" s="221"/>
      <c r="BC76" s="10" t="str">
        <f aca="false">IF(A76="","",1)</f>
        <v/>
      </c>
    </row>
    <row r="77" customFormat="false" ht="12.75" hidden="true" customHeight="false" outlineLevel="0" collapsed="false">
      <c r="A77" s="222"/>
      <c r="B77" s="223"/>
      <c r="C77" s="224"/>
      <c r="D77" s="225" t="str">
        <f aca="false">IF(ISERROR(VLOOKUP($A77,'[1]liste reference'!$A$7:$D$892,2,0)),IF(ISERROR(VLOOKUP($A77,'[1]liste reference'!$B$7:$D$892,1,0)),"",VLOOKUP($A77,'[1]liste reference'!$B$7:$D$892,1,0)),VLOOKUP($A77,'[1]liste reference'!$A$7:$D$892,2,0))</f>
        <v/>
      </c>
      <c r="E77" s="225" t="n">
        <f aca="false">IF(D77="",0,VLOOKUP(D77,D$22:D75,1,0))</f>
        <v>0</v>
      </c>
      <c r="F77" s="232" t="n">
        <f aca="false">($B77*$B$7+$C77*$C$7)/100</f>
        <v>0</v>
      </c>
      <c r="G77" s="227" t="str">
        <f aca="false">IF(A77="","",IF(ISERROR(VLOOKUP($A77,'[1]liste reference'!$A$7:$P$892,13,0)),IF(ISERROR(VLOOKUP($A77,'[1]liste reference'!$B$7:$P$892,12,0)),"    -",VLOOKUP($A77,'[1]liste reference'!$B$7:$P$892,12,0)),VLOOKUP($A77,'[1]liste reference'!$A$7:$P$892,13,0)))</f>
        <v/>
      </c>
      <c r="H77" s="209" t="str">
        <f aca="false">IF(A77="","x",IF(ISERROR(VLOOKUP($A77,'[1]liste reference'!$A$7:$P$892,14,0)),IF(ISERROR(VLOOKUP($A77,'[1]liste reference'!$B$7:$P$892,13,0)),"x",VLOOKUP($A77,'[1]liste reference'!$B$7:$P$892,13,0)),VLOOKUP($A77,'[1]liste reference'!$A$7:$P$892,14,0)))</f>
        <v>x</v>
      </c>
      <c r="I77" s="228" t="str">
        <f aca="false">IF(ISNUMBER(H77),IF(ISERROR(VLOOKUP($A77,'[1]liste reference'!$A$7:$P$892,3,0)),IF(ISERROR(VLOOKUP($A77,'[1]liste reference'!$B$7:$P$892,2,0)),"",VLOOKUP($A77,'[1]liste reference'!$B$7:$P$892,2,0)),VLOOKUP($A77,'[1]liste reference'!$A$7:$P$892,3,0)),"")</f>
        <v/>
      </c>
      <c r="J77" s="211" t="str">
        <f aca="false">IF(ISNUMBER(H77),IF(ISERROR(VLOOKUP($A77,'[1]liste reference'!$A$7:$P$892,4,0)),IF(ISERROR(VLOOKUP($A77,'[1]liste reference'!$B$7:$P$892,3,0)),"",VLOOKUP($A77,'[1]liste reference'!$B$7:$P$892,3,0)),VLOOKUP($A77,'[1]liste reference'!$A$7:$P$892,4,0)),"")</f>
        <v/>
      </c>
      <c r="K77" s="212" t="str">
        <f aca="false">IF(A77="NEWCOD",IF(AB77="","Remplir le champs 'Nouveau taxa' svp.",$AB77),IF(ISTEXT($E77),"DEJA SAISI !",IF(A77="","",IF(ISERROR(VLOOKUP($A77,'[1]liste reference'!$A$7:$D$892,2,0)),IF(ISERROR(VLOOKUP($A77,'[1]liste reference'!$B$7:$D$892,1,0)),"code non répertorié ou synonyme",VLOOKUP($A77,'[1]liste reference'!$B$7:$D$892,1,0)),VLOOKUP(A77,'[1]liste reference'!$A$7:$D$892,2,0)))))</f>
        <v/>
      </c>
      <c r="L77" s="229"/>
      <c r="M77" s="229"/>
      <c r="N77" s="229"/>
      <c r="O77" s="214" t="str">
        <f aca="false">IF(AA77="Cf.","Cf.","")</f>
        <v/>
      </c>
      <c r="P77" s="214" t="str">
        <f aca="false">IF($A77="NEWCOD",IF($AC77="","No",$AC77),IF(ISTEXT($E77),"DEJA SAISI !",IF($A77="","",IF(ISERROR(VLOOKUP($A77,'[1]liste reference'!A$1:S$1048576,19,FALSE())),IF(ISERROR(VLOOKUP($A77,'[1]liste reference'!B$1:S$1048576,19,FALSE())),"",VLOOKUP($A77,'[1]liste reference'!B$1:S$1048576,19,FALSE())),VLOOKUP($A77,'[1]liste reference'!A$1:S$1048576,19,FALSE())))))</f>
        <v/>
      </c>
      <c r="Q77" s="215" t="str">
        <f aca="false">IF(ISTEXT(H77),"",(B77*$B$7/100)+(C77*$C$7/100))</f>
        <v/>
      </c>
      <c r="R77" s="216" t="str">
        <f aca="false">IF(OR(ISTEXT(H77),Q77=0),"",IF(Q77&lt;0.1,1,IF(Q77&lt;1,2,IF(Q77&lt;10,3,IF(Q77&lt;50,4,IF(Q77&gt;=50,5,""))))))</f>
        <v/>
      </c>
      <c r="S77" s="216" t="n">
        <f aca="false">IF(ISERROR(R77*I77),0,R77*I77)</f>
        <v>0</v>
      </c>
      <c r="T77" s="216" t="n">
        <f aca="false">IF(ISERROR(R77*I77*J77),0,R77*I77*J77)</f>
        <v>0</v>
      </c>
      <c r="U77" s="230" t="n">
        <f aca="false">IF(ISERROR(R77*J77),0,R77*J77)</f>
        <v>0</v>
      </c>
      <c r="V77" s="217" t="n">
        <v>0</v>
      </c>
      <c r="W77" s="218"/>
      <c r="Y77" s="219" t="str">
        <f aca="false">IF(A77="new.cod","NEWCOD",IF(AND((Z77=""),ISTEXT(A77)),A77,IF(Z77="","",INDEX('[1]liste reference'!$A$7:$A$892,Z77))))</f>
        <v/>
      </c>
      <c r="Z77" s="10" t="str">
        <f aca="false">IF(ISERROR(MATCH(A77,'[1]liste reference'!$A$7:$A$892,0)),IF(ISERROR(MATCH(A77,'[1]liste reference'!$B$7:$B$892,0)),"",(MATCH(A77,'[1]liste reference'!$B$7:$B$892,0))),(MATCH(A77,'[1]liste reference'!$A$7:$A$892,0)))</f>
        <v/>
      </c>
      <c r="AA77" s="220"/>
      <c r="AB77" s="221"/>
      <c r="AC77" s="221"/>
      <c r="BC77" s="10" t="str">
        <f aca="false">IF(A77="","",1)</f>
        <v/>
      </c>
    </row>
    <row r="78" customFormat="false" ht="12.75" hidden="true" customHeight="false" outlineLevel="0" collapsed="false">
      <c r="A78" s="222"/>
      <c r="B78" s="223"/>
      <c r="C78" s="224"/>
      <c r="D78" s="225" t="str">
        <f aca="false">IF(ISERROR(VLOOKUP($A78,'[1]liste reference'!$A$7:$D$892,2,0)),IF(ISERROR(VLOOKUP($A78,'[1]liste reference'!$B$7:$D$892,1,0)),"",VLOOKUP($A78,'[1]liste reference'!$B$7:$D$892,1,0)),VLOOKUP($A78,'[1]liste reference'!$A$7:$D$892,2,0))</f>
        <v/>
      </c>
      <c r="E78" s="225" t="n">
        <f aca="false">IF(D78="",0,VLOOKUP(D78,D$22:D75,1,0))</f>
        <v>0</v>
      </c>
      <c r="F78" s="232" t="n">
        <f aca="false">($B78*$B$7+$C78*$C$7)/100</f>
        <v>0</v>
      </c>
      <c r="G78" s="227" t="str">
        <f aca="false">IF(A78="","",IF(ISERROR(VLOOKUP($A78,'[1]liste reference'!$A$7:$P$892,13,0)),IF(ISERROR(VLOOKUP($A78,'[1]liste reference'!$B$7:$P$892,12,0)),"    -",VLOOKUP($A78,'[1]liste reference'!$B$7:$P$892,12,0)),VLOOKUP($A78,'[1]liste reference'!$A$7:$P$892,13,0)))</f>
        <v/>
      </c>
      <c r="H78" s="209" t="str">
        <f aca="false">IF(A78="","x",IF(ISERROR(VLOOKUP($A78,'[1]liste reference'!$A$7:$P$892,14,0)),IF(ISERROR(VLOOKUP($A78,'[1]liste reference'!$B$7:$P$892,13,0)),"x",VLOOKUP($A78,'[1]liste reference'!$B$7:$P$892,13,0)),VLOOKUP($A78,'[1]liste reference'!$A$7:$P$892,14,0)))</f>
        <v>x</v>
      </c>
      <c r="I78" s="228" t="str">
        <f aca="false">IF(ISNUMBER(H78),IF(ISERROR(VLOOKUP($A78,'[1]liste reference'!$A$7:$P$892,3,0)),IF(ISERROR(VLOOKUP($A78,'[1]liste reference'!$B$7:$P$892,2,0)),"",VLOOKUP($A78,'[1]liste reference'!$B$7:$P$892,2,0)),VLOOKUP($A78,'[1]liste reference'!$A$7:$P$892,3,0)),"")</f>
        <v/>
      </c>
      <c r="J78" s="211" t="str">
        <f aca="false">IF(ISNUMBER(H78),IF(ISERROR(VLOOKUP($A78,'[1]liste reference'!$A$7:$P$892,4,0)),IF(ISERROR(VLOOKUP($A78,'[1]liste reference'!$B$7:$P$892,3,0)),"",VLOOKUP($A78,'[1]liste reference'!$B$7:$P$892,3,0)),VLOOKUP($A78,'[1]liste reference'!$A$7:$P$892,4,0)),"")</f>
        <v/>
      </c>
      <c r="K78" s="212" t="str">
        <f aca="false">IF(A78="NEWCOD",IF(AB78="","Remplir le champs 'Nouveau taxa' svp.",$AB78),IF(ISTEXT($E78),"DEJA SAISI !",IF(A78="","",IF(ISERROR(VLOOKUP($A78,'[1]liste reference'!$A$7:$D$892,2,0)),IF(ISERROR(VLOOKUP($A78,'[1]liste reference'!$B$7:$D$892,1,0)),"code non répertorié ou synonyme",VLOOKUP($A78,'[1]liste reference'!$B$7:$D$892,1,0)),VLOOKUP(A78,'[1]liste reference'!$A$7:$D$892,2,0)))))</f>
        <v/>
      </c>
      <c r="L78" s="229"/>
      <c r="M78" s="229"/>
      <c r="N78" s="229"/>
      <c r="O78" s="214" t="str">
        <f aca="false">IF(AA78="Cf.","Cf.","")</f>
        <v/>
      </c>
      <c r="P78" s="214" t="str">
        <f aca="false">IF($A78="NEWCOD",IF($AC78="","No",$AC78),IF(ISTEXT($E78),"DEJA SAISI !",IF($A78="","",IF(ISERROR(VLOOKUP($A78,'[1]liste reference'!A$1:S$1048576,19,FALSE())),IF(ISERROR(VLOOKUP($A78,'[1]liste reference'!B$1:S$1048576,19,FALSE())),"",VLOOKUP($A78,'[1]liste reference'!B$1:S$1048576,19,FALSE())),VLOOKUP($A78,'[1]liste reference'!A$1:S$1048576,19,FALSE())))))</f>
        <v/>
      </c>
      <c r="Q78" s="215" t="str">
        <f aca="false">IF(ISTEXT(H78),"",(B78*$B$7/100)+(C78*$C$7/100))</f>
        <v/>
      </c>
      <c r="R78" s="216" t="str">
        <f aca="false">IF(OR(ISTEXT(H78),Q78=0),"",IF(Q78&lt;0.1,1,IF(Q78&lt;1,2,IF(Q78&lt;10,3,IF(Q78&lt;50,4,IF(Q78&gt;=50,5,""))))))</f>
        <v/>
      </c>
      <c r="S78" s="216" t="n">
        <f aca="false">IF(ISERROR(R78*I78),0,R78*I78)</f>
        <v>0</v>
      </c>
      <c r="T78" s="216" t="n">
        <f aca="false">IF(ISERROR(R78*I78*J78),0,R78*I78*J78)</f>
        <v>0</v>
      </c>
      <c r="U78" s="230" t="n">
        <f aca="false">IF(ISERROR(R78*J78),0,R78*J78)</f>
        <v>0</v>
      </c>
      <c r="V78" s="217" t="n">
        <v>0</v>
      </c>
      <c r="W78" s="218"/>
      <c r="Y78" s="219" t="str">
        <f aca="false">IF(A78="new.cod","NEWCOD",IF(AND((Z78=""),ISTEXT(A78)),A78,IF(Z78="","",INDEX('[1]liste reference'!$A$7:$A$892,Z78))))</f>
        <v/>
      </c>
      <c r="Z78" s="10" t="str">
        <f aca="false">IF(ISERROR(MATCH(A78,'[1]liste reference'!$A$7:$A$892,0)),IF(ISERROR(MATCH(A78,'[1]liste reference'!$B$7:$B$892,0)),"",(MATCH(A78,'[1]liste reference'!$B$7:$B$892,0))),(MATCH(A78,'[1]liste reference'!$A$7:$A$892,0)))</f>
        <v/>
      </c>
      <c r="AA78" s="220"/>
      <c r="AB78" s="221"/>
      <c r="AC78" s="221"/>
      <c r="BC78" s="10" t="str">
        <f aca="false">IF(A78="","",1)</f>
        <v/>
      </c>
    </row>
    <row r="79" customFormat="false" ht="12.75" hidden="true" customHeight="false" outlineLevel="0" collapsed="false">
      <c r="A79" s="222"/>
      <c r="B79" s="223"/>
      <c r="C79" s="224"/>
      <c r="D79" s="225" t="str">
        <f aca="false">IF(ISERROR(VLOOKUP($A79,'[1]liste reference'!$A$7:$D$892,2,0)),IF(ISERROR(VLOOKUP($A79,'[1]liste reference'!$B$7:$D$892,1,0)),"",VLOOKUP($A79,'[1]liste reference'!$B$7:$D$892,1,0)),VLOOKUP($A79,'[1]liste reference'!$A$7:$D$892,2,0))</f>
        <v/>
      </c>
      <c r="E79" s="225" t="n">
        <f aca="false">IF(D79="",0,VLOOKUP(D79,D$22:D75,1,0))</f>
        <v>0</v>
      </c>
      <c r="F79" s="232" t="n">
        <f aca="false">($B79*$B$7+$C79*$C$7)/100</f>
        <v>0</v>
      </c>
      <c r="G79" s="227" t="str">
        <f aca="false">IF(A79="","",IF(ISERROR(VLOOKUP($A79,'[1]liste reference'!$A$7:$P$892,13,0)),IF(ISERROR(VLOOKUP($A79,'[1]liste reference'!$B$7:$P$892,12,0)),"    -",VLOOKUP($A79,'[1]liste reference'!$B$7:$P$892,12,0)),VLOOKUP($A79,'[1]liste reference'!$A$7:$P$892,13,0)))</f>
        <v/>
      </c>
      <c r="H79" s="209" t="str">
        <f aca="false">IF(A79="","x",IF(ISERROR(VLOOKUP($A79,'[1]liste reference'!$A$7:$P$892,14,0)),IF(ISERROR(VLOOKUP($A79,'[1]liste reference'!$B$7:$P$892,13,0)),"x",VLOOKUP($A79,'[1]liste reference'!$B$7:$P$892,13,0)),VLOOKUP($A79,'[1]liste reference'!$A$7:$P$892,14,0)))</f>
        <v>x</v>
      </c>
      <c r="I79" s="228" t="str">
        <f aca="false">IF(ISNUMBER(H79),IF(ISERROR(VLOOKUP($A79,'[1]liste reference'!$A$7:$P$892,3,0)),IF(ISERROR(VLOOKUP($A79,'[1]liste reference'!$B$7:$P$892,2,0)),"",VLOOKUP($A79,'[1]liste reference'!$B$7:$P$892,2,0)),VLOOKUP($A79,'[1]liste reference'!$A$7:$P$892,3,0)),"")</f>
        <v/>
      </c>
      <c r="J79" s="211" t="str">
        <f aca="false">IF(ISNUMBER(H79),IF(ISERROR(VLOOKUP($A79,'[1]liste reference'!$A$7:$P$892,4,0)),IF(ISERROR(VLOOKUP($A79,'[1]liste reference'!$B$7:$P$892,3,0)),"",VLOOKUP($A79,'[1]liste reference'!$B$7:$P$892,3,0)),VLOOKUP($A79,'[1]liste reference'!$A$7:$P$892,4,0)),"")</f>
        <v/>
      </c>
      <c r="K79" s="212" t="str">
        <f aca="false">IF(A79="NEWCOD",IF(AB79="","Remplir le champs 'Nouveau taxa' svp.",$AB79),IF(ISTEXT($E79),"DEJA SAISI !",IF(A79="","",IF(ISERROR(VLOOKUP($A79,'[1]liste reference'!$A$7:$D$892,2,0)),IF(ISERROR(VLOOKUP($A79,'[1]liste reference'!$B$7:$D$892,1,0)),"code non répertorié ou synonyme",VLOOKUP($A79,'[1]liste reference'!$B$7:$D$892,1,0)),VLOOKUP(A79,'[1]liste reference'!$A$7:$D$892,2,0)))))</f>
        <v/>
      </c>
      <c r="L79" s="229"/>
      <c r="M79" s="229"/>
      <c r="N79" s="229"/>
      <c r="O79" s="214" t="str">
        <f aca="false">IF(AA79="Cf.","Cf.","")</f>
        <v/>
      </c>
      <c r="P79" s="214" t="str">
        <f aca="false">IF($A79="NEWCOD",IF($AC79="","No",$AC79),IF(ISTEXT($E79),"DEJA SAISI !",IF($A79="","",IF(ISERROR(VLOOKUP($A79,'[1]liste reference'!A$1:S$1048576,19,FALSE())),IF(ISERROR(VLOOKUP($A79,'[1]liste reference'!B$1:S$1048576,19,FALSE())),"",VLOOKUP($A79,'[1]liste reference'!B$1:S$1048576,19,FALSE())),VLOOKUP($A79,'[1]liste reference'!A$1:S$1048576,19,FALSE())))))</f>
        <v/>
      </c>
      <c r="Q79" s="215" t="str">
        <f aca="false">IF(ISTEXT(H79),"",(B79*$B$7/100)+(C79*$C$7/100))</f>
        <v/>
      </c>
      <c r="R79" s="216" t="str">
        <f aca="false">IF(OR(ISTEXT(H79),Q79=0),"",IF(Q79&lt;0.1,1,IF(Q79&lt;1,2,IF(Q79&lt;10,3,IF(Q79&lt;50,4,IF(Q79&gt;=50,5,""))))))</f>
        <v/>
      </c>
      <c r="S79" s="216" t="n">
        <f aca="false">IF(ISERROR(R79*I79),0,R79*I79)</f>
        <v>0</v>
      </c>
      <c r="T79" s="216" t="n">
        <f aca="false">IF(ISERROR(R79*I79*J79),0,R79*I79*J79)</f>
        <v>0</v>
      </c>
      <c r="U79" s="230" t="n">
        <f aca="false">IF(ISERROR(R79*J79),0,R79*J79)</f>
        <v>0</v>
      </c>
      <c r="V79" s="217" t="n">
        <v>0</v>
      </c>
      <c r="W79" s="218"/>
      <c r="Y79" s="219" t="str">
        <f aca="false">IF(A79="new.cod","NEWCOD",IF(AND((Z79=""),ISTEXT(A79)),A79,IF(Z79="","",INDEX('[1]liste reference'!$A$7:$A$892,Z79))))</f>
        <v/>
      </c>
      <c r="Z79" s="10" t="str">
        <f aca="false">IF(ISERROR(MATCH(A79,'[1]liste reference'!$A$7:$A$892,0)),IF(ISERROR(MATCH(A79,'[1]liste reference'!$B$7:$B$892,0)),"",(MATCH(A79,'[1]liste reference'!$B$7:$B$892,0))),(MATCH(A79,'[1]liste reference'!$A$7:$A$892,0)))</f>
        <v/>
      </c>
      <c r="AA79" s="220"/>
      <c r="AB79" s="221"/>
      <c r="AC79" s="221"/>
      <c r="BC79" s="10" t="str">
        <f aca="false">IF(A79="","",1)</f>
        <v/>
      </c>
    </row>
    <row r="80" customFormat="false" ht="12.75" hidden="true" customHeight="false" outlineLevel="0" collapsed="false">
      <c r="A80" s="222"/>
      <c r="B80" s="223"/>
      <c r="C80" s="224"/>
      <c r="D80" s="225" t="str">
        <f aca="false">IF(ISERROR(VLOOKUP($A80,'[1]liste reference'!$A$7:$D$892,2,0)),IF(ISERROR(VLOOKUP($A80,'[1]liste reference'!$B$7:$D$892,1,0)),"",VLOOKUP($A80,'[1]liste reference'!$B$7:$D$892,1,0)),VLOOKUP($A80,'[1]liste reference'!$A$7:$D$892,2,0))</f>
        <v/>
      </c>
      <c r="E80" s="225" t="n">
        <f aca="false">IF(D80="",0,VLOOKUP(D80,D$22:D79,1,0))</f>
        <v>0</v>
      </c>
      <c r="F80" s="232" t="n">
        <f aca="false">($B80*$B$7+$C80*$C$7)/100</f>
        <v>0</v>
      </c>
      <c r="G80" s="227" t="str">
        <f aca="false">IF(A80="","",IF(ISERROR(VLOOKUP($A80,'[1]liste reference'!$A$7:$P$892,13,0)),IF(ISERROR(VLOOKUP($A80,'[1]liste reference'!$B$7:$P$892,12,0)),"    -",VLOOKUP($A80,'[1]liste reference'!$B$7:$P$892,12,0)),VLOOKUP($A80,'[1]liste reference'!$A$7:$P$892,13,0)))</f>
        <v/>
      </c>
      <c r="H80" s="209" t="str">
        <f aca="false">IF(A80="","x",IF(ISERROR(VLOOKUP($A80,'[1]liste reference'!$A$7:$P$892,14,0)),IF(ISERROR(VLOOKUP($A80,'[1]liste reference'!$B$7:$P$892,13,0)),"x",VLOOKUP($A80,'[1]liste reference'!$B$7:$P$892,13,0)),VLOOKUP($A80,'[1]liste reference'!$A$7:$P$892,14,0)))</f>
        <v>x</v>
      </c>
      <c r="I80" s="228" t="str">
        <f aca="false">IF(ISNUMBER(H80),IF(ISERROR(VLOOKUP($A80,'[1]liste reference'!$A$7:$P$892,3,0)),IF(ISERROR(VLOOKUP($A80,'[1]liste reference'!$B$7:$P$892,2,0)),"",VLOOKUP($A80,'[1]liste reference'!$B$7:$P$892,2,0)),VLOOKUP($A80,'[1]liste reference'!$A$7:$P$892,3,0)),"")</f>
        <v/>
      </c>
      <c r="J80" s="211" t="str">
        <f aca="false">IF(ISNUMBER(H80),IF(ISERROR(VLOOKUP($A80,'[1]liste reference'!$A$7:$P$892,4,0)),IF(ISERROR(VLOOKUP($A80,'[1]liste reference'!$B$7:$P$892,3,0)),"",VLOOKUP($A80,'[1]liste reference'!$B$7:$P$892,3,0)),VLOOKUP($A80,'[1]liste reference'!$A$7:$P$892,4,0)),"")</f>
        <v/>
      </c>
      <c r="K80" s="212" t="str">
        <f aca="false">IF(A80="NEWCOD",IF(AB80="","Remplir le champs 'Nouveau taxa' svp.",$AB80),IF(ISTEXT($E80),"DEJA SAISI !",IF(A80="","",IF(ISERROR(VLOOKUP($A80,'[1]liste reference'!$A$7:$D$892,2,0)),IF(ISERROR(VLOOKUP($A80,'[1]liste reference'!$B$7:$D$892,1,0)),"code non répertorié ou synonyme",VLOOKUP($A80,'[1]liste reference'!$B$7:$D$892,1,0)),VLOOKUP(A80,'[1]liste reference'!$A$7:$D$892,2,0)))))</f>
        <v/>
      </c>
      <c r="L80" s="229"/>
      <c r="M80" s="229"/>
      <c r="N80" s="229"/>
      <c r="O80" s="214" t="str">
        <f aca="false">IF(AA80="Cf.","Cf.","")</f>
        <v/>
      </c>
      <c r="P80" s="214" t="str">
        <f aca="false">IF($A80="NEWCOD",IF($AC80="","No",$AC80),IF(ISTEXT($E80),"DEJA SAISI !",IF($A80="","",IF(ISERROR(VLOOKUP($A80,'[1]liste reference'!A$1:S$1048576,19,FALSE())),IF(ISERROR(VLOOKUP($A80,'[1]liste reference'!B$1:S$1048576,19,FALSE())),"",VLOOKUP($A80,'[1]liste reference'!B$1:S$1048576,19,FALSE())),VLOOKUP($A80,'[1]liste reference'!A$1:S$1048576,19,FALSE())))))</f>
        <v/>
      </c>
      <c r="Q80" s="215" t="str">
        <f aca="false">IF(ISTEXT(H80),"",(B80*$B$7/100)+(C80*$C$7/100))</f>
        <v/>
      </c>
      <c r="R80" s="216" t="str">
        <f aca="false">IF(OR(ISTEXT(H80),Q80=0),"",IF(Q80&lt;0.1,1,IF(Q80&lt;1,2,IF(Q80&lt;10,3,IF(Q80&lt;50,4,IF(Q80&gt;=50,5,""))))))</f>
        <v/>
      </c>
      <c r="S80" s="216" t="n">
        <f aca="false">IF(ISERROR(R80*I80),0,R80*I80)</f>
        <v>0</v>
      </c>
      <c r="T80" s="216" t="n">
        <f aca="false">IF(ISERROR(R80*I80*J80),0,R80*I80*J80)</f>
        <v>0</v>
      </c>
      <c r="U80" s="230" t="n">
        <f aca="false">IF(ISERROR(R80*J80),0,R80*J80)</f>
        <v>0</v>
      </c>
      <c r="V80" s="217" t="n">
        <v>0</v>
      </c>
      <c r="W80" s="218"/>
      <c r="Y80" s="219" t="str">
        <f aca="false">IF(A80="new.cod","NEWCOD",IF(AND((Z80=""),ISTEXT(A80)),A80,IF(Z80="","",INDEX('[1]liste reference'!$A$7:$A$892,Z80))))</f>
        <v/>
      </c>
      <c r="Z80" s="10" t="str">
        <f aca="false">IF(ISERROR(MATCH(A80,'[1]liste reference'!$A$7:$A$892,0)),IF(ISERROR(MATCH(A80,'[1]liste reference'!$B$7:$B$892,0)),"",(MATCH(A80,'[1]liste reference'!$B$7:$B$892,0))),(MATCH(A80,'[1]liste reference'!$A$7:$A$892,0)))</f>
        <v/>
      </c>
      <c r="AA80" s="220"/>
      <c r="AB80" s="221"/>
      <c r="AC80" s="221"/>
      <c r="BC80" s="10" t="str">
        <f aca="false">IF(A80="","",1)</f>
        <v/>
      </c>
    </row>
    <row r="81" customFormat="false" ht="12.75" hidden="true" customHeight="false" outlineLevel="0" collapsed="false">
      <c r="A81" s="222"/>
      <c r="B81" s="223"/>
      <c r="C81" s="224"/>
      <c r="D81" s="225" t="str">
        <f aca="false">IF(ISERROR(VLOOKUP($A81,'[1]liste reference'!$A$7:$D$892,2,0)),IF(ISERROR(VLOOKUP($A81,'[1]liste reference'!$B$7:$D$892,1,0)),"",VLOOKUP($A81,'[1]liste reference'!$B$7:$D$892,1,0)),VLOOKUP($A81,'[1]liste reference'!$A$7:$D$892,2,0))</f>
        <v/>
      </c>
      <c r="E81" s="225" t="n">
        <f aca="false">IF(D81="",0,VLOOKUP(D81,D$21:D80,1,0))</f>
        <v>0</v>
      </c>
      <c r="F81" s="232" t="n">
        <f aca="false">($B81*$B$7+$C81*$C$7)/100</f>
        <v>0</v>
      </c>
      <c r="G81" s="227" t="str">
        <f aca="false">IF(A81="","",IF(ISERROR(VLOOKUP($A81,'[1]liste reference'!$A$7:$P$892,13,0)),IF(ISERROR(VLOOKUP($A81,'[1]liste reference'!$B$7:$P$892,12,0)),"    -",VLOOKUP($A81,'[1]liste reference'!$B$7:$P$892,12,0)),VLOOKUP($A81,'[1]liste reference'!$A$7:$P$892,13,0)))</f>
        <v/>
      </c>
      <c r="H81" s="209" t="str">
        <f aca="false">IF(A81="","x",IF(ISERROR(VLOOKUP($A81,'[1]liste reference'!$A$7:$P$892,14,0)),IF(ISERROR(VLOOKUP($A81,'[1]liste reference'!$B$7:$P$892,13,0)),"x",VLOOKUP($A81,'[1]liste reference'!$B$7:$P$892,13,0)),VLOOKUP($A81,'[1]liste reference'!$A$7:$P$892,14,0)))</f>
        <v>x</v>
      </c>
      <c r="I81" s="228" t="str">
        <f aca="false">IF(ISNUMBER(H81),IF(ISERROR(VLOOKUP($A81,'[1]liste reference'!$A$7:$P$892,3,0)),IF(ISERROR(VLOOKUP($A81,'[1]liste reference'!$B$7:$P$892,2,0)),"",VLOOKUP($A81,'[1]liste reference'!$B$7:$P$892,2,0)),VLOOKUP($A81,'[1]liste reference'!$A$7:$P$892,3,0)),"")</f>
        <v/>
      </c>
      <c r="J81" s="211" t="str">
        <f aca="false">IF(ISNUMBER(H81),IF(ISERROR(VLOOKUP($A81,'[1]liste reference'!$A$7:$P$892,4,0)),IF(ISERROR(VLOOKUP($A81,'[1]liste reference'!$B$7:$P$892,3,0)),"",VLOOKUP($A81,'[1]liste reference'!$B$7:$P$892,3,0)),VLOOKUP($A81,'[1]liste reference'!$A$7:$P$892,4,0)),"")</f>
        <v/>
      </c>
      <c r="K81" s="212" t="str">
        <f aca="false">IF(A81="NEWCOD",IF(AB81="","Remplir le champs 'Nouveau taxa' svp.",$AB81),IF(ISTEXT($E81),"DEJA SAISI !",IF(A81="","",IF(ISERROR(VLOOKUP($A81,'[1]liste reference'!$A$7:$D$892,2,0)),IF(ISERROR(VLOOKUP($A81,'[1]liste reference'!$B$7:$D$892,1,0)),"code non répertorié ou synonyme",VLOOKUP($A81,'[1]liste reference'!$B$7:$D$892,1,0)),VLOOKUP(A81,'[1]liste reference'!$A$7:$D$892,2,0)))))</f>
        <v/>
      </c>
      <c r="L81" s="234"/>
      <c r="M81" s="234"/>
      <c r="N81" s="234"/>
      <c r="O81" s="214" t="str">
        <f aca="false">IF(AA81="Cf.","Cf.","")</f>
        <v/>
      </c>
      <c r="P81" s="214" t="str">
        <f aca="false">IF($A81="NEWCOD",IF($AC81="","No",$AC81),IF(ISTEXT($E81),"DEJA SAISI !",IF($A81="","",IF(ISERROR(VLOOKUP($A81,'[1]liste reference'!A$1:S$1048576,19,FALSE())),IF(ISERROR(VLOOKUP($A81,'[1]liste reference'!B$1:S$1048576,19,FALSE())),"",VLOOKUP($A81,'[1]liste reference'!B$1:S$1048576,19,FALSE())),VLOOKUP($A81,'[1]liste reference'!A$1:S$1048576,19,FALSE())))))</f>
        <v/>
      </c>
      <c r="Q81" s="215" t="str">
        <f aca="false">IF(ISTEXT(H81),"",(B81*$B$7/100)+(C81*$C$7/100))</f>
        <v/>
      </c>
      <c r="R81" s="216" t="str">
        <f aca="false">IF(OR(ISTEXT(H81),Q81=0),"",IF(Q81&lt;0.1,1,IF(Q81&lt;1,2,IF(Q81&lt;10,3,IF(Q81&lt;50,4,IF(Q81&gt;=50,5,""))))))</f>
        <v/>
      </c>
      <c r="S81" s="216" t="n">
        <f aca="false">IF(ISERROR(R81*I81),0,R81*I81)</f>
        <v>0</v>
      </c>
      <c r="T81" s="216" t="n">
        <f aca="false">IF(ISERROR(R81*I81*J81),0,R81*I81*J81)</f>
        <v>0</v>
      </c>
      <c r="U81" s="230" t="n">
        <f aca="false">IF(ISERROR(R81*J81),0,R81*J81)</f>
        <v>0</v>
      </c>
      <c r="V81" s="217" t="n">
        <v>0</v>
      </c>
      <c r="W81" s="218"/>
      <c r="X81" s="236"/>
      <c r="Y81" s="219" t="str">
        <f aca="false">IF(A81="new.cod","NEWCOD",IF(AND((Z81=""),ISTEXT(A81)),A81,IF(Z81="","",INDEX('[1]liste reference'!$A$7:$A$892,Z81))))</f>
        <v/>
      </c>
      <c r="Z81" s="10" t="str">
        <f aca="false">IF(ISERROR(MATCH(A81,'[1]liste reference'!$A$7:$A$892,0)),IF(ISERROR(MATCH(A81,'[1]liste reference'!$B$7:$B$892,0)),"",(MATCH(A81,'[1]liste reference'!$B$7:$B$892,0))),(MATCH(A81,'[1]liste reference'!$A$7:$A$892,0)))</f>
        <v/>
      </c>
      <c r="AA81" s="220"/>
      <c r="AB81" s="221"/>
      <c r="AC81" s="221"/>
      <c r="BC81" s="10" t="str">
        <f aca="false">IF(A81="","",1)</f>
        <v/>
      </c>
    </row>
    <row r="82" customFormat="false" ht="12.75" hidden="true" customHeight="false" outlineLevel="0" collapsed="false">
      <c r="A82" s="237"/>
      <c r="B82" s="238"/>
      <c r="C82" s="239"/>
      <c r="D82" s="240" t="str">
        <f aca="false">IF(ISERROR(VLOOKUP($A82,'[1]liste reference'!$A$7:$D$892,2,0)),IF(ISERROR(VLOOKUP($A82,'[1]liste reference'!$B$7:$D$892,1,0)),"",VLOOKUP($A82,'[1]liste reference'!$B$7:$D$892,1,0)),VLOOKUP($A82,'[1]liste reference'!$A$7:$D$892,2,0))</f>
        <v/>
      </c>
      <c r="E82" s="240" t="n">
        <f aca="false">IF(D82="",0,VLOOKUP(D82,D$20:D80,1,0))</f>
        <v>0</v>
      </c>
      <c r="F82" s="241" t="n">
        <f aca="false">($B82*$B$7+$C82*$C$7)/100</f>
        <v>0</v>
      </c>
      <c r="G82" s="242" t="str">
        <f aca="false">IF(A82="","",IF(ISERROR(VLOOKUP($A82,'[1]liste reference'!$A$7:$P$892,13,0)),IF(ISERROR(VLOOKUP($A82,'[1]liste reference'!$B$7:$P$892,12,0)),"    -",VLOOKUP($A82,'[1]liste reference'!$B$7:$P$892,12,0)),VLOOKUP($A82,'[1]liste reference'!$A$7:$P$892,13,0)))</f>
        <v/>
      </c>
      <c r="H82" s="209" t="str">
        <f aca="false">IF(A82="","x",IF(ISERROR(VLOOKUP($A82,'[1]liste reference'!$A$7:$P$892,14,0)),IF(ISERROR(VLOOKUP($A82,'[1]liste reference'!$B$7:$P$892,13,0)),"x",VLOOKUP($A82,'[1]liste reference'!$B$7:$P$892,13,0)),VLOOKUP($A82,'[1]liste reference'!$A$7:$P$892,14,0)))</f>
        <v>x</v>
      </c>
      <c r="I82" s="243" t="str">
        <f aca="false">IF(ISNUMBER(H82),IF(ISERROR(VLOOKUP($A82,'[1]liste reference'!$A$7:$P$892,3,0)),IF(ISERROR(VLOOKUP($A82,'[1]liste reference'!$B$7:$P$892,2,0)),"",VLOOKUP($A82,'[1]liste reference'!$B$7:$P$892,2,0)),VLOOKUP($A82,'[1]liste reference'!$A$7:$P$892,3,0)),"")</f>
        <v/>
      </c>
      <c r="J82" s="243" t="str">
        <f aca="false">IF(ISNUMBER(H82),IF(ISERROR(VLOOKUP($A82,'[1]liste reference'!$A$7:$P$892,4,0)),IF(ISERROR(VLOOKUP($A82,'[1]liste reference'!$B$7:$P$892,3,0)),"",VLOOKUP($A82,'[1]liste reference'!$B$7:$P$892,3,0)),VLOOKUP($A82,'[1]liste reference'!$A$7:$P$892,4,0)),"")</f>
        <v/>
      </c>
      <c r="K82" s="212" t="str">
        <f aca="false">IF(A82="NEWCOD",IF(AB82="","Remplir le champs 'Nouveau taxa' svp.",$AB82),IF(ISTEXT($E82),"DEJA SAISI !",IF(A82="","",IF(ISERROR(VLOOKUP($A82,'[1]liste reference'!$A$7:$D$892,2,0)),IF(ISERROR(VLOOKUP($A82,'[1]liste reference'!$B$7:$D$892,1,0)),"code non répertorié ou synonyme",VLOOKUP($A82,'[1]liste reference'!$B$7:$D$892,1,0)),VLOOKUP(A82,'[1]liste reference'!$A$7:$D$892,2,0)))))</f>
        <v/>
      </c>
      <c r="L82" s="244"/>
      <c r="M82" s="244"/>
      <c r="N82" s="244"/>
      <c r="O82" s="214" t="str">
        <f aca="false">IF(AA82="Cf.","Cf.","")</f>
        <v/>
      </c>
      <c r="P82" s="245" t="str">
        <f aca="false">IF($A82="NEWCOD",IF($AC82="","No",$AC82),IF(ISTEXT($E82),"DEJA SAISI !",IF($A82="","",IF(ISERROR(VLOOKUP($A82,'[1]liste reference'!A$1:S$1048576,19,FALSE())),IF(ISERROR(VLOOKUP($A82,'[1]liste reference'!B$1:S$1048576,19,FALSE())),"",VLOOKUP($A82,'[1]liste reference'!B$1:S$1048576,19,FALSE())),VLOOKUP($A82,'[1]liste reference'!A$1:S$1048576,19,FALSE())))))</f>
        <v/>
      </c>
      <c r="Q82" s="215" t="str">
        <f aca="false">IF(ISTEXT(H82),"",(B82*$B$7/100)+(C82*$C$7/100))</f>
        <v/>
      </c>
      <c r="R82" s="216" t="str">
        <f aca="false">IF(OR(ISTEXT(H82),Q82=0),"",IF(Q82&lt;0.1,1,IF(Q82&lt;1,2,IF(Q82&lt;10,3,IF(Q82&lt;50,4,IF(Q82&gt;=50,5,""))))))</f>
        <v/>
      </c>
      <c r="S82" s="216" t="n">
        <f aca="false">IF(ISERROR(R82*I82),0,R82*I82)</f>
        <v>0</v>
      </c>
      <c r="T82" s="216" t="n">
        <f aca="false">IF(ISERROR(R82*I82*J82),0,R82*I82*J82)</f>
        <v>0</v>
      </c>
      <c r="U82" s="230" t="n">
        <f aca="false">IF(ISERROR(R82*J82),0,R82*J82)</f>
        <v>0</v>
      </c>
      <c r="V82" s="217" t="n">
        <v>0</v>
      </c>
      <c r="W82" s="246"/>
      <c r="X82" s="247"/>
      <c r="Y82" s="219" t="str">
        <f aca="false">IF(A82="new.cod","NEWCOD",IF(AND((Z82=""),ISTEXT(A82)),A82,IF(Z82="","",INDEX('[1]liste reference'!$A$7:$A$892,Z82))))</f>
        <v/>
      </c>
      <c r="Z82" s="10" t="str">
        <f aca="false">IF(ISERROR(MATCH(A82,'[1]liste reference'!$A$7:$A$892,0)),IF(ISERROR(MATCH(A82,'[1]liste reference'!$B$7:$B$892,0)),"",(MATCH(A82,'[1]liste reference'!$B$7:$B$892,0))),(MATCH(A82,'[1]liste reference'!$A$7:$A$892,0)))</f>
        <v/>
      </c>
      <c r="AA82" s="220"/>
      <c r="AB82" s="221"/>
      <c r="AC82" s="221"/>
      <c r="BC82" s="10" t="str">
        <f aca="false">IF(A82="","",1)</f>
        <v/>
      </c>
    </row>
    <row r="83" customFormat="false" ht="15" hidden="true" customHeight="false" outlineLevel="0" collapsed="false">
      <c r="A83" s="248" t="s">
        <v>92</v>
      </c>
      <c r="B83" s="156"/>
      <c r="C83" s="156"/>
      <c r="D83" s="156"/>
      <c r="E83" s="156"/>
      <c r="F83" s="156"/>
      <c r="G83" s="156"/>
      <c r="H83" s="156"/>
      <c r="I83" s="156"/>
      <c r="J83" s="156"/>
      <c r="K83" s="156"/>
      <c r="L83" s="156"/>
      <c r="M83" s="216"/>
      <c r="N83" s="216"/>
      <c r="O83" s="249"/>
      <c r="P83" s="249"/>
      <c r="Q83" s="249"/>
      <c r="R83" s="249"/>
      <c r="S83" s="249"/>
      <c r="T83" s="10"/>
      <c r="U83" s="10"/>
      <c r="V83" s="249"/>
      <c r="W83" s="249"/>
      <c r="X83" s="249"/>
      <c r="Y83" s="250"/>
      <c r="Z83" s="250"/>
      <c r="AA83" s="250"/>
      <c r="AB83" s="251"/>
      <c r="AC83" s="251"/>
      <c r="AD83" s="251"/>
    </row>
    <row r="84" customFormat="false" ht="12.75" hidden="true" customHeight="false" outlineLevel="0" collapsed="false">
      <c r="A84" s="252" t="str">
        <f aca="false">A3</f>
        <v>Veyle</v>
      </c>
      <c r="B84" s="253" t="str">
        <f aca="false">C3</f>
        <v>Veyle à Pont de Veyle</v>
      </c>
      <c r="C84" s="254" t="n">
        <f aca="false">A4</f>
        <v>41141</v>
      </c>
      <c r="D84" s="255" t="n">
        <f aca="false">IF(ISERROR(SUM($T$23:$T$82)/SUM($U$23:$U$82)),"",SUM($T$23:$T$82)/SUM($U$23:$U$82))</f>
        <v>6.78378378378378</v>
      </c>
      <c r="E84" s="256" t="n">
        <f aca="false">N13</f>
        <v>12</v>
      </c>
      <c r="F84" s="253" t="n">
        <f aca="false">N14</f>
        <v>12</v>
      </c>
      <c r="G84" s="253" t="n">
        <f aca="false">N15</f>
        <v>8</v>
      </c>
      <c r="H84" s="253" t="n">
        <f aca="false">N16</f>
        <v>4</v>
      </c>
      <c r="I84" s="253" t="n">
        <f aca="false">N17</f>
        <v>0</v>
      </c>
      <c r="J84" s="257" t="n">
        <f aca="false">N8</f>
        <v>7.66666666666667</v>
      </c>
      <c r="K84" s="255" t="n">
        <f aca="false">N9</f>
        <v>3.22865953984659</v>
      </c>
      <c r="L84" s="256" t="n">
        <f aca="false">N10</f>
        <v>2</v>
      </c>
      <c r="M84" s="256" t="n">
        <f aca="false">N11</f>
        <v>12</v>
      </c>
      <c r="N84" s="255" t="n">
        <f aca="false">O8</f>
        <v>1.33333333333333</v>
      </c>
      <c r="O84" s="255" t="n">
        <f aca="false">O9</f>
        <v>0.492365963917331</v>
      </c>
      <c r="P84" s="256" t="n">
        <f aca="false">O10</f>
        <v>1</v>
      </c>
      <c r="Q84" s="256" t="n">
        <f aca="false">O11</f>
        <v>2</v>
      </c>
      <c r="R84" s="256" t="n">
        <f aca="false">F21</f>
        <v>88.0065</v>
      </c>
      <c r="S84" s="256" t="n">
        <f aca="false">K11</f>
        <v>0</v>
      </c>
      <c r="T84" s="256" t="n">
        <f aca="false">K12</f>
        <v>3</v>
      </c>
      <c r="U84" s="256" t="n">
        <f aca="false">K13</f>
        <v>0</v>
      </c>
      <c r="V84" s="258" t="n">
        <f aca="false">K14</f>
        <v>0</v>
      </c>
      <c r="W84" s="259" t="n">
        <f aca="false">K15</f>
        <v>9</v>
      </c>
      <c r="Z84" s="260"/>
      <c r="AA84" s="260"/>
      <c r="AB84" s="251"/>
      <c r="AC84" s="251"/>
      <c r="AD84" s="251"/>
    </row>
    <row r="85" customFormat="false" ht="12.75" hidden="true" customHeight="false" outlineLevel="0" collapsed="false">
      <c r="P85" s="10"/>
      <c r="Q85" s="10"/>
      <c r="R85" s="10"/>
      <c r="S85" s="10"/>
      <c r="T85" s="10"/>
      <c r="U85" s="10"/>
      <c r="V85" s="10"/>
    </row>
    <row r="86" customFormat="false" ht="12.75" hidden="true" customHeight="false" outlineLevel="0" collapsed="false">
      <c r="P86" s="10"/>
      <c r="Q86" s="261" t="s">
        <v>93</v>
      </c>
      <c r="R86" s="10"/>
      <c r="S86" s="217"/>
      <c r="T86" s="10"/>
      <c r="U86" s="10"/>
      <c r="V86" s="10"/>
    </row>
    <row r="87" customFormat="false" ht="12.75" hidden="true" customHeight="false" outlineLevel="0" collapsed="false">
      <c r="P87" s="10"/>
      <c r="Q87" s="10" t="s">
        <v>94</v>
      </c>
      <c r="R87" s="10"/>
      <c r="S87" s="217" t="n">
        <f aca="false">VLOOKUP(MAX($S$23:$S$82),($S$23:$U$82),1,0)</f>
        <v>48</v>
      </c>
      <c r="T87" s="10"/>
      <c r="U87" s="10"/>
      <c r="V87" s="10"/>
    </row>
    <row r="88" customFormat="false" ht="12.75" hidden="true" customHeight="false" outlineLevel="0" collapsed="false">
      <c r="P88" s="10"/>
      <c r="Q88" s="10" t="s">
        <v>95</v>
      </c>
      <c r="R88" s="10"/>
      <c r="S88" s="217" t="n">
        <f aca="false">VLOOKUP((S87),($S$23:$U$82),2,0)</f>
        <v>48</v>
      </c>
      <c r="T88" s="10"/>
      <c r="U88" s="10"/>
      <c r="V88" s="10"/>
    </row>
    <row r="89" customFormat="false" ht="12.75" hidden="false" customHeight="false" outlineLevel="0" collapsed="false">
      <c r="Q89" s="10" t="s">
        <v>96</v>
      </c>
      <c r="R89" s="10"/>
      <c r="S89" s="217" t="n">
        <f aca="false">VLOOKUP((S87),($S$23:$U$82),3,0)</f>
        <v>4</v>
      </c>
      <c r="T89" s="10"/>
    </row>
    <row r="90" customFormat="false" ht="12.75" hidden="false" customHeight="false" outlineLevel="0" collapsed="false">
      <c r="Q90" s="10" t="s">
        <v>97</v>
      </c>
      <c r="R90" s="10"/>
      <c r="S90" s="262" t="n">
        <f aca="false">IF(ISERROR(SUM($T$23:$T$82)/SUM($U$23:$U$82)),"",(SUM($T$23:$T$82)-S88)/(SUM($U$23:$U$82)-S89))</f>
        <v>6.15151515151515</v>
      </c>
      <c r="T90" s="10"/>
    </row>
    <row r="91" customFormat="false" ht="12.75" hidden="false" customHeight="false" outlineLevel="0" collapsed="false">
      <c r="Q91" s="216" t="s">
        <v>98</v>
      </c>
      <c r="R91" s="216"/>
      <c r="S91" s="216" t="str">
        <f aca="false">INDEX('[1]liste reference'!$A$7:$A$892,$T$91)</f>
        <v>POTNAT</v>
      </c>
      <c r="T91" s="10" t="n">
        <f aca="false">IF(ISERROR(MATCH($S$93,'[1]liste reference'!$A$7:$A$892,0)),MATCH($S$93,'[1]liste reference'!$B$7:$B$892,0),(MATCH($S$93,'[1]liste reference'!$A$7:$A$892,0)))</f>
        <v>631</v>
      </c>
      <c r="U91" s="251"/>
    </row>
    <row r="92" customFormat="false" ht="12.75" hidden="false" customHeight="false" outlineLevel="0" collapsed="false">
      <c r="Q92" s="10" t="s">
        <v>99</v>
      </c>
      <c r="R92" s="10"/>
      <c r="S92" s="10" t="n">
        <f aca="false">MATCH(S87,$S$23:$S$82,0)</f>
        <v>7</v>
      </c>
      <c r="T92" s="10"/>
    </row>
    <row r="93" customFormat="false" ht="12.75" hidden="false" customHeight="false" outlineLevel="0" collapsed="false">
      <c r="Q93" s="216" t="s">
        <v>100</v>
      </c>
      <c r="R93" s="10"/>
      <c r="S93" s="216" t="str">
        <f aca="false">INDEX($A$23:$A$82,$S$92)</f>
        <v>POTNAT</v>
      </c>
      <c r="T93" s="10"/>
    </row>
    <row r="94" customFormat="false" ht="12.75" hidden="false" customHeight="false" outlineLevel="0" collapsed="false">
      <c r="S94" s="251"/>
    </row>
  </sheetData>
  <sheetProtection sheet="true" password="c39f" objects="true" scenarios="true"/>
  <mergeCells count="11">
    <mergeCell ref="N6:O6"/>
    <mergeCell ref="A8:C8"/>
    <mergeCell ref="I11:J11"/>
    <mergeCell ref="I12:J12"/>
    <mergeCell ref="I13:J13"/>
    <mergeCell ref="I14:J14"/>
    <mergeCell ref="I15:J15"/>
    <mergeCell ref="I17:J17"/>
    <mergeCell ref="I18:J18"/>
    <mergeCell ref="K22:O22"/>
    <mergeCell ref="Y83:Z83"/>
  </mergeCells>
  <conditionalFormatting sqref="A23:A82">
    <cfRule type="expression" priority="2" aboveAverage="0" equalAverage="0" bottom="0" percent="0" rank="0" text="" dxfId="0">
      <formula>ISTEXT($E23)</formula>
    </cfRule>
  </conditionalFormatting>
  <conditionalFormatting sqref="H23:J82">
    <cfRule type="cellIs" priority="3" operator="equal" aboveAverage="0" equalAverage="0" bottom="0" percent="0" rank="0" text="" dxfId="1">
      <formula>"x"</formula>
    </cfRule>
  </conditionalFormatting>
  <conditionalFormatting sqref="W23:X23">
    <cfRule type="cellIs" priority="4" operator="equal" aboveAverage="0" equalAverage="0" bottom="0" percent="0" rank="0" text="" dxfId="2">
      <formula>"DEJA SAISI !"</formula>
    </cfRule>
    <cfRule type="cellIs" priority="5" operator="equal" aboveAverage="0" equalAverage="0" bottom="0" percent="0" rank="0" text="" dxfId="3">
      <formula>"non répertorié"</formula>
    </cfRule>
    <cfRule type="expression" priority="6" aboveAverage="0" equalAverage="0" bottom="0" percent="0" rank="0" text="" dxfId="4">
      <formula>AND(ISTEXT($G$23),ISBLANK($I$23))</formula>
    </cfRule>
  </conditionalFormatting>
  <conditionalFormatting sqref="L27:O82 K23:K82 O23:O82">
    <cfRule type="cellIs" priority="7" operator="equal" aboveAverage="0" equalAverage="0" bottom="0" percent="0" rank="0" text="" dxfId="5">
      <formula>"code non répertorié ou synonyme"</formula>
    </cfRule>
    <cfRule type="expression" priority="8" aboveAverage="0" equalAverage="0" bottom="0" percent="0" rank="0" text="" dxfId="6">
      <formula>AND($I27="",$J27="")</formula>
    </cfRule>
    <cfRule type="cellIs" priority="9" operator="equal" aboveAverage="0" equalAverage="0" bottom="0" percent="0" rank="0" text="" dxfId="7">
      <formula>"DEJA SAISI !"</formula>
    </cfRule>
  </conditionalFormatting>
  <conditionalFormatting sqref="A2">
    <cfRule type="cellIs" priority="10" operator="between" aboveAverage="0" equalAverage="0" bottom="0" percent="0" rank="0" text="" dxfId="8">
      <formula>"(organisme)"</formula>
      <formula>"(organisme)"</formula>
    </cfRule>
    <cfRule type="cellIs" priority="11" operator="notBetween" aboveAverage="0" equalAverage="0" bottom="0" percent="0" rank="0" text="" dxfId="9">
      <formula>"(organisme)"</formula>
      <formula>"(organisme)"</formula>
    </cfRule>
  </conditionalFormatting>
  <conditionalFormatting sqref="A3">
    <cfRule type="cellIs" priority="12" operator="between" aboveAverage="0" equalAverage="0" bottom="0" percent="0" rank="0" text="" dxfId="10">
      <formula>"(cours d'eau)"</formula>
      <formula>"(cours d'eau)"</formula>
    </cfRule>
    <cfRule type="cellIs" priority="13" operator="notBetween" aboveAverage="0" equalAverage="0" bottom="0" percent="0" rank="0" text="" dxfId="11">
      <formula>"(cours d'eau)"</formula>
      <formula>"(cours d'eau)"</formula>
    </cfRule>
  </conditionalFormatting>
  <conditionalFormatting sqref="A4">
    <cfRule type="cellIs" priority="14" operator="between" aboveAverage="0" equalAverage="0" bottom="0" percent="0" rank="0" text="" dxfId="12">
      <formula>"(Date)"</formula>
      <formula>"(Date)"</formula>
    </cfRule>
    <cfRule type="cellIs" priority="15" operator="notBetween" aboveAverage="0" equalAverage="0" bottom="0" percent="0" rank="0" text="" dxfId="13">
      <formula>"(Date)"</formula>
      <formula>"(Date)"</formula>
    </cfRule>
  </conditionalFormatting>
  <conditionalFormatting sqref="C2">
    <cfRule type="cellIs" priority="16" operator="between" aboveAverage="0" equalAverage="0" bottom="0" percent="0" rank="0" text="" dxfId="14">
      <formula>"(Opérateurs)"</formula>
      <formula>"(Opérateurs)"</formula>
    </cfRule>
    <cfRule type="cellIs" priority="17" operator="notBetween" aboveAverage="0" equalAverage="0" bottom="0" percent="0" rank="0" text="" dxfId="15">
      <formula>"(Opérateurs)"</formula>
      <formula>"(Opérateurs)"</formula>
    </cfRule>
  </conditionalFormatting>
  <conditionalFormatting sqref="C3">
    <cfRule type="cellIs" priority="18" operator="between" aboveAverage="0" equalAverage="0" bottom="0" percent="0" rank="0" text="" dxfId="16">
      <formula>"(Nom de la station)"</formula>
      <formula>"(Nom de la station)"</formula>
    </cfRule>
    <cfRule type="cellIs" priority="19" operator="notBetween" aboveAverage="0" equalAverage="0" bottom="0" percent="0" rank="0" text="" dxfId="17">
      <formula>"(Nom de la station)"</formula>
      <formula>"(Nom de la station)"</formula>
    </cfRule>
  </conditionalFormatting>
  <conditionalFormatting sqref="K3">
    <cfRule type="cellIs" priority="20" operator="between" aboveAverage="0" equalAverage="0" bottom="0" percent="0" rank="0" text="" dxfId="18">
      <formula>"(Code station)"</formula>
      <formula>"(Code station)"</formula>
    </cfRule>
    <cfRule type="cellIs" priority="21" operator="notBetween" aboveAverage="0" equalAverage="0" bottom="0" percent="0" rank="0" text="" dxfId="19">
      <formula>"(Code station)"</formula>
      <formula>"(Code station)"</formula>
    </cfRule>
  </conditionalFormatting>
  <conditionalFormatting sqref="M3">
    <cfRule type="cellIs" priority="22" operator="between" aboveAverage="0" equalAverage="0" bottom="0" percent="0" rank="0" text="" dxfId="20">
      <formula>"(Dossier, type réseau)"</formula>
      <formula>"(Dossier, type réseau)"</formula>
    </cfRule>
    <cfRule type="cellIs" priority="23" operator="notBetween" aboveAverage="0" equalAverage="0" bottom="0" percent="0" rank="0" text="" dxfId="21">
      <formula>"(Dossier, type réseau)"</formula>
      <formula>"(Dossier, type réseau)"</formula>
    </cfRule>
  </conditionalFormatting>
  <conditionalFormatting sqref="K23:K82">
    <cfRule type="cellIs" priority="24" operator="equal" aboveAverage="0" equalAverage="0" bottom="0" percent="0" rank="0" text="" dxfId="22">
      <formula>"Remplir le champs 'Nouveau taxa' svp."</formula>
    </cfRule>
  </conditionalFormatting>
  <conditionalFormatting sqref="P23:P82">
    <cfRule type="cellIs" priority="25" operator="equal" aboveAverage="0" equalAverage="0" bottom="0" percent="0" rank="0" text="" dxfId="23">
      <formula>"code non répertorié ou synonyme"</formula>
    </cfRule>
    <cfRule type="expression" priority="26" aboveAverage="0" equalAverage="0" bottom="0" percent="0" rank="0" text="" dxfId="24">
      <formula>AND($I23="",$J23="")</formula>
    </cfRule>
    <cfRule type="cellIs" priority="27" operator="equal" aboveAverage="0" equalAverage="0" bottom="0" percent="0" rank="0" text="" dxfId="25">
      <formula>"DEJA SAISI !"</formula>
    </cfRule>
  </conditionalFormatting>
  <dataValidations count="8">
    <dataValidation allowBlank="false" error="Veuillez sélectionner Cf. dans la liste déroulante" errorStyle="stop" errorTitle="ATTENTION" operator="between" showDropDown="false" showErrorMessage="true" showInputMessage="false" sqref="AA23:AA82" type="list">
      <formula1>Cf_</formula1>
      <formula2>0</formula2>
    </dataValidation>
    <dataValidation allowBlank="true" error="saisir un nombre compris entre 0 et 100 %" errorStyle="stop" operator="between" showDropDown="false" showErrorMessage="true" showInputMessage="false" sqref="B9:E17 B18:D18 B23:C42" type="decimal">
      <formula1>0</formula1>
      <formula2>100</formula2>
    </dataValidation>
    <dataValidation allowBlank="true" error="saisir un nombre entier compris entre 0 et 100 %" errorStyle="stop" operator="between" showDropDown="false" showErrorMessage="true" showInputMessage="false" sqref="B7:E7 H7:J7 H9:J9 H10:I10 H11:H18 B20:D20 G20:J20" type="whole">
      <formula1>0</formula1>
      <formula2>100</formula2>
    </dataValidation>
    <dataValidation allowBlank="true" error="saisir un nombre compris entre 0 et 100 %" errorStyle="stop" operator="between" showDropDown="false" showErrorMessage="true" showInputMessage="false" sqref="G23:G82" type="none">
      <formula1>0</formula1>
      <formula2>0</formula2>
    </dataValidation>
    <dataValidation allowBlank="true" error="saisir un nombre compris entre 0 et 100 %" errorStyle="stop" operator="between" showDropDown="false" showErrorMessage="false" showInputMessage="false" sqref="E18 D23:D82" type="none">
      <formula1>0</formula1>
      <formula2>0</formula2>
    </dataValidation>
    <dataValidation allowBlank="true" error="Vous devriez choisir un code dans la liste de référence !" errorStyle="information" errorTitle="ATTENTION :" operator="between" showDropDown="false" showErrorMessage="false" showInputMessage="false" sqref="A23:A82" type="list">
      <formula1>'[1]liste reference'!B28:B914</formula1>
      <formula2>0</formula2>
    </dataValidation>
    <dataValidation allowBlank="true" error="sélectionner un des types de faciès de la liste." errorStyle="warning" errorTitle="ATTENTION :" operator="between" showDropDown="false" showErrorMessage="true" showInputMessage="false" sqref="B6:C6" type="list">
      <formula1>type_courant</formula1>
      <formula2>0</formula2>
    </dataValidation>
    <dataValidation allowBlank="true" error="saisir un nombre entier compris entre 0 et 100 %" errorStyle="stop" operator="between" showDropDown="false" showErrorMessage="false" showInputMessage="false" sqref="E20" type="none">
      <formula1>0</formula1>
      <formula2>0</formula2>
    </dataValidation>
  </dataValidations>
  <printOptions headings="false" gridLines="false" gridLinesSet="true" horizontalCentered="true" verticalCentered="false"/>
  <pageMargins left="0.315277777777778" right="0.157638888888889" top="0.157638888888889" bottom="0.550694444444445" header="0.511811023622047" footer="0.354166666666667"/>
  <pageSetup paperSize="9" scale="100" fitToWidth="1" fitToHeight="1" pageOrder="downThenOver" orientation="portrait" blackAndWhite="false" draft="false" cellComments="none" horizontalDpi="300" verticalDpi="300" copies="1"/>
  <headerFooter differentFirst="false" differentOddEven="false">
    <oddHeader/>
    <oddFooter>&amp;L&amp;8&amp;F - &amp;A / &amp;D</oddFooter>
  </headerFooter>
  <drawing r:id="rId2"/>
  <legacyDrawing r:id="rId3"/>
</worksheet>
</file>

<file path=docProps/app.xml><?xml version="1.0" encoding="utf-8"?>
<Properties xmlns="http://schemas.openxmlformats.org/officeDocument/2006/extended-properties" xmlns:vt="http://schemas.openxmlformats.org/officeDocument/2006/docPropsVTypes">
  <Template/>
  <TotalTime>0</TotalTime>
  <Application>LibreOffice/24.2.5.2$Linux_X86_64 LibreOffice_project/bffef4ea93e59bebbeaf7f431bb02b1a39ee8a59</Application>
  <AppVersion>15.0000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2012-12-13T17:15:44Z</dcterms:created>
  <dc:creator> </dc:creator>
  <dc:description/>
  <dc:language>fr-FR</dc:language>
  <cp:lastModifiedBy> </cp:lastModifiedBy>
  <dcterms:modified xsi:type="dcterms:W3CDTF">2012-12-13T17:15:46Z</dcterms:modified>
  <cp:revision>0</cp:revision>
  <dc:subject/>
  <dc:title/>
</cp:coreProperties>
</file>