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<sst xmlns="http://schemas.openxmlformats.org/spreadsheetml/2006/main" count="100" uniqueCount="96">
  <si>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</si>
  <si>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</si>
  <si>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</si>
  <si>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P.BELLY L.ISEBE</t>
  </si>
  <si>
    <t xml:space="preserve">conforme AFNOR T90-395 oct. 2003</t>
  </si>
  <si>
    <t xml:space="preserve">Veyle</t>
  </si>
  <si>
    <t xml:space="preserve">Veyle à Grièges</t>
  </si>
  <si>
    <t xml:space="preserve">06049000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</si>
  <si>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</si>
  <si>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</si>
  <si>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</si>
  <si>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</si>
  <si>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</si>
  <si>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</si>
  <si>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</si>
  <si>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</si>
  <si>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NUPLUT</t>
  </si>
  <si>
    <t xml:space="preserve">Faciès dominant</t>
  </si>
  <si>
    <t xml:space="preserve">plat courant</t>
  </si>
  <si>
    <t xml:space="preserve">plat lentique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</si>
  <si>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</si>
  <si>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</si>
  <si>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</si>
  <si>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</si>
  <si>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</si>
  <si>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</si>
  <si>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</si>
  <si>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</si>
  <si>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</si>
  <si>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</si>
  <si>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</si>
  <si>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</si>
  <si>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 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</si>
  <si>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</si>
  <si>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</si>
  <si>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</si>
  <si>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</si>
  <si>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</si>
  <si>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</si>
  <si>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</si>
  <si>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</si>
  <si>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</si>
  <si>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</si>
  <si>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</si>
  <si>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</si>
  <si>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</si>
  <si>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</si>
  <si>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</si>
  <si>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</si>
  <si>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</si>
  <si>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</si>
  <si>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</si>
  <si>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</si>
  <si>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</si>
  <si>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</si>
  <si>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</si>
  <si>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</si>
  <si>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</si>
  <si>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</si>
  <si>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</si>
  <si>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</si>
  <si>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</si>
  <si>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</si>
  <si>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</si>
  <si>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</si>
  <si>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</si>
  <si>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</si>
  <si>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</si>
  <si>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</si>
  <si>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</si>
  <si>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</si>
  <si>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</si>
  <si>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</si>
  <si>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</si>
  <si>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</si>
  <si>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</si>
  <si>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</si>
  <si>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</si>
  <si>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</si>
  <si>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HILSPX</t>
  </si>
  <si>
    <t xml:space="preserve">VAUSPX</t>
  </si>
  <si>
    <t xml:space="preserve">CERDEM</t>
  </si>
  <si>
    <t xml:space="preserve">MYRSPI</t>
  </si>
  <si>
    <t xml:space="preserve">POTNOD</t>
  </si>
  <si>
    <t xml:space="preserve">POTPEC</t>
  </si>
  <si>
    <t xml:space="preserve">SPAEML</t>
  </si>
  <si>
    <t xml:space="preserve">SOADUL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</si>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</sst>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VEYLEG_03-12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domntade.eaurmc.fr/aermc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5.51351351351351</v>
      </c>
      <c r="M5" s="53"/>
      <c r="N5" s="54" t="s">
        <v>16</v>
      </c>
      <c r="O5" s="55" t="n">
        <v>5.20588235294118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85</v>
      </c>
      <c r="C7" s="67" t="n">
        <v>15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6.75</v>
      </c>
      <c r="O8" s="84" t="n">
        <f aca="false">IF(ISERROR(AVERAGE(J23:J82)),"      -",AVERAGE(J23:J82))</f>
        <v>1.75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82.01</v>
      </c>
      <c r="C9" s="87" t="n">
        <v>0.03</v>
      </c>
      <c r="D9" s="88"/>
      <c r="E9" s="88"/>
      <c r="F9" s="89" t="n">
        <f aca="false">($B9*$B$7+$C9*$C$7)/100</f>
        <v>69.713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3.79967103839267</v>
      </c>
      <c r="O9" s="84" t="n">
        <f aca="false">IF(ISERROR(STDEVP(J23:J82)),"      -",STDEVP(J23:J82))</f>
        <v>0.661437827766148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33</v>
      </c>
      <c r="D10" s="100"/>
      <c r="E10" s="100"/>
      <c r="F10" s="89"/>
      <c r="G10" s="90"/>
      <c r="H10" s="101"/>
      <c r="I10" s="102"/>
      <c r="J10" s="103" t="s">
        <v>34</v>
      </c>
      <c r="K10" s="103"/>
      <c r="L10" s="104"/>
      <c r="M10" s="105" t="s">
        <v>35</v>
      </c>
      <c r="N10" s="106" t="n">
        <f aca="false">MIN(I23:I82)</f>
        <v>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36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37</v>
      </c>
      <c r="J11" s="114"/>
      <c r="K11" s="115" t="n">
        <f aca="false">COUNTIF($G$23:$G$82,"=HET")</f>
        <v>0</v>
      </c>
      <c r="L11" s="116"/>
      <c r="M11" s="105" t="s">
        <v>38</v>
      </c>
      <c r="N11" s="106" t="n">
        <f aca="false">MAX(I23:I82)</f>
        <v>15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39</v>
      </c>
      <c r="B12" s="118" t="n">
        <v>0.01</v>
      </c>
      <c r="C12" s="119" t="n">
        <v>0.01</v>
      </c>
      <c r="D12" s="111"/>
      <c r="E12" s="111"/>
      <c r="F12" s="112" t="n">
        <f aca="false">($B12*$B$7+$C12*$C$7)/100</f>
        <v>0.01</v>
      </c>
      <c r="G12" s="120"/>
      <c r="H12" s="68"/>
      <c r="I12" s="121" t="s">
        <v>40</v>
      </c>
      <c r="J12" s="121"/>
      <c r="K12" s="115" t="n">
        <f aca="false">COUNTIF($G$23:$G$82,"=ALG")</f>
        <v>2</v>
      </c>
      <c r="L12" s="122"/>
      <c r="M12" s="123"/>
      <c r="N12" s="124" t="s">
        <v>34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41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42</v>
      </c>
      <c r="J13" s="121"/>
      <c r="K13" s="115" t="n">
        <f aca="false">COUNTIF($G$23:$G$82,"=BRm")+COUNTIF($G$23:$G$82,"=BRh")</f>
        <v>0</v>
      </c>
      <c r="L13" s="116"/>
      <c r="M13" s="127" t="s">
        <v>43</v>
      </c>
      <c r="N13" s="128" t="n">
        <f aca="false">COUNTIF(F23:F82,"&gt;0")</f>
        <v>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44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45</v>
      </c>
      <c r="J14" s="121"/>
      <c r="K14" s="115" t="n">
        <f aca="false">COUNTIF($G$23:$G$82,"=PTE")+COUNTIF($G$23:$G$82,"=LIC")</f>
        <v>0</v>
      </c>
      <c r="L14" s="116"/>
      <c r="M14" s="131" t="s">
        <v>46</v>
      </c>
      <c r="N14" s="132" t="n">
        <f aca="false">COUNTIF($I$23:$I$82,"&gt;-1")</f>
        <v>8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47</v>
      </c>
      <c r="B15" s="135" t="n">
        <v>82</v>
      </c>
      <c r="C15" s="136" t="n">
        <v>0.02</v>
      </c>
      <c r="D15" s="111"/>
      <c r="E15" s="111"/>
      <c r="F15" s="112" t="n">
        <f aca="false">($B15*$B$7+$C15*$C$7)/100</f>
        <v>69.703</v>
      </c>
      <c r="G15" s="120"/>
      <c r="H15" s="68"/>
      <c r="I15" s="121" t="s">
        <v>48</v>
      </c>
      <c r="J15" s="121"/>
      <c r="K15" s="115" t="n">
        <f aca="false">(COUNTIF($G$23:$G$82,"=PHy"))+(COUNTIF($G$23:$G$82,"=PHe"))+(COUNTIF($G$23:$G$82,"=PHg"))+(COUNTIF($G$23:$G$82,"=PHx"))</f>
        <v>7</v>
      </c>
      <c r="L15" s="116"/>
      <c r="M15" s="137" t="s">
        <v>49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50</v>
      </c>
      <c r="B16" s="109" t="n">
        <v>3</v>
      </c>
      <c r="C16" s="110"/>
      <c r="D16" s="140"/>
      <c r="E16" s="140"/>
      <c r="F16" s="141"/>
      <c r="G16" s="141" t="n">
        <f aca="false">($B16*$B$7+$C16*$C$7)/100</f>
        <v>2.55</v>
      </c>
      <c r="H16" s="68"/>
      <c r="I16" s="121"/>
      <c r="J16" s="142"/>
      <c r="K16" s="142"/>
      <c r="L16" s="116"/>
      <c r="M16" s="137" t="s">
        <v>51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52</v>
      </c>
      <c r="B17" s="118" t="n">
        <v>79.01</v>
      </c>
      <c r="C17" s="119" t="n">
        <v>0.02</v>
      </c>
      <c r="D17" s="111"/>
      <c r="E17" s="111"/>
      <c r="F17" s="143"/>
      <c r="G17" s="112" t="n">
        <f aca="false">($B17*$B$7+$C17*$C$7)/100</f>
        <v>67.1615</v>
      </c>
      <c r="H17" s="68"/>
      <c r="I17" s="121"/>
      <c r="J17" s="121"/>
      <c r="K17" s="142"/>
      <c r="L17" s="116"/>
      <c r="M17" s="137" t="s">
        <v>53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54</v>
      </c>
      <c r="B18" s="145"/>
      <c r="C18" s="146" t="n">
        <v>0.01</v>
      </c>
      <c r="D18" s="111"/>
      <c r="E18" s="147" t="s">
        <v>55</v>
      </c>
      <c r="F18" s="143"/>
      <c r="G18" s="112" t="n">
        <f aca="false">($B18*$B$7+$C18*$C$7)/100</f>
        <v>0.0015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69.713</v>
      </c>
      <c r="G19" s="156" t="n">
        <f aca="false">SUM(G16:G18)</f>
        <v>69.713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56</v>
      </c>
      <c r="B20" s="165" t="n">
        <f aca="false">SUM(B23:B82)</f>
        <v>82.01</v>
      </c>
      <c r="C20" s="166" t="n">
        <f aca="false">SUM(C23:C82)</f>
        <v>0.03</v>
      </c>
      <c r="D20" s="167"/>
      <c r="E20" s="168" t="s">
        <v>55</v>
      </c>
      <c r="F20" s="169" t="n">
        <f aca="false">($B20*$B$7+$C20*$C$7)/100</f>
        <v>69.713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57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58</v>
      </c>
      <c r="B21" s="179" t="n">
        <f aca="false">B20*B7/100</f>
        <v>69.7085</v>
      </c>
      <c r="C21" s="179" t="n">
        <f aca="false">C20*C7/100</f>
        <v>0.0045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69.713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59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60</v>
      </c>
      <c r="B22" s="190" t="s">
        <v>61</v>
      </c>
      <c r="C22" s="191" t="s">
        <v>61</v>
      </c>
      <c r="D22" s="140"/>
      <c r="E22" s="140"/>
      <c r="F22" s="192" t="s">
        <v>62</v>
      </c>
      <c r="G22" s="193" t="s">
        <v>63</v>
      </c>
      <c r="H22" s="140"/>
      <c r="I22" s="194" t="s">
        <v>64</v>
      </c>
      <c r="J22" s="194" t="s">
        <v>65</v>
      </c>
      <c r="K22" s="195" t="s">
        <v>66</v>
      </c>
      <c r="L22" s="195"/>
      <c r="M22" s="195"/>
      <c r="N22" s="195"/>
      <c r="O22" s="195"/>
      <c r="P22" s="196" t="s">
        <v>67</v>
      </c>
      <c r="Q22" s="197" t="s">
        <v>68</v>
      </c>
      <c r="R22" s="198" t="s">
        <v>69</v>
      </c>
      <c r="S22" s="199" t="s">
        <v>70</v>
      </c>
      <c r="T22" s="200" t="s">
        <v>71</v>
      </c>
      <c r="U22" s="201" t="s">
        <v>72</v>
      </c>
      <c r="V22" s="199" t="s">
        <v>73</v>
      </c>
      <c r="Y22" s="10" t="s">
        <v>74</v>
      </c>
      <c r="Z22" s="10" t="s">
        <v>75</v>
      </c>
      <c r="AA22" s="202" t="s">
        <v>76</v>
      </c>
      <c r="AB22" s="202" t="s">
        <v>77</v>
      </c>
      <c r="AC22" s="203" t="s">
        <v>78</v>
      </c>
    </row>
    <row r="23" customFormat="false" ht="12.75" hidden="false" customHeight="false" outlineLevel="0" collapsed="false">
      <c r="A23" s="204" t="s">
        <v>79</v>
      </c>
      <c r="B23" s="205" t="n">
        <v>0</v>
      </c>
      <c r="C23" s="206" t="n">
        <v>0.01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Hildenbrandia sp.</v>
      </c>
      <c r="E23" s="207" t="e">
        <f aca="false">IF(D23="",0,VLOOKUP(D23,D$22:D22,1,0))</f>
        <v>#N/A</v>
      </c>
      <c r="F23" s="208" t="n">
        <f aca="false">($B23*$B$7+$C23*$C$7)/100</f>
        <v>0.0015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15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Hildenbrandia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1157</v>
      </c>
      <c r="Q23" s="216" t="n">
        <f aca="false">IF(ISTEXT(H23),"",(B23*$B$7/100)+(C23*$C$7/100))</f>
        <v>0.0015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15</v>
      </c>
      <c r="T23" s="217" t="n">
        <f aca="false">IF(ISERROR(R23*I23*J23),0,R23*I23*J23)</f>
        <v>30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HILSPX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30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80</v>
      </c>
      <c r="B24" s="224" t="n">
        <v>0.01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Vaucheria sp.</v>
      </c>
      <c r="E24" s="226" t="e">
        <f aca="false">IF(D24="",0,VLOOKUP(D24,D$22:D23,1,0))</f>
        <v>#N/A</v>
      </c>
      <c r="F24" s="227" t="n">
        <f aca="false">($B24*$B$7+$C24*$C$7)/100</f>
        <v>0.0085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4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Vaucheria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6193</v>
      </c>
      <c r="Q24" s="216" t="n">
        <f aca="false">IF(ISTEXT(H24),"",(B24*$B$7/100)+(C24*$C$7/100))</f>
        <v>0.0085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4</v>
      </c>
      <c r="T24" s="217" t="n">
        <f aca="false">IF(ISERROR(R24*I24*J24),0,R24*I24*J24)</f>
        <v>4</v>
      </c>
      <c r="U24" s="229" t="n">
        <f aca="false">IF(ISERROR(R24*J24),0,R24*J24)</f>
        <v>1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VAUSPX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82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81</v>
      </c>
      <c r="B25" s="224" t="n">
        <v>0</v>
      </c>
      <c r="C25" s="225" t="n">
        <v>0.01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Ceratophyllum demersum</v>
      </c>
      <c r="E25" s="226" t="e">
        <f aca="false">IF(D25="",0,VLOOKUP(D25,D$22:D24,1,0))</f>
        <v>#N/A</v>
      </c>
      <c r="F25" s="227" t="n">
        <f aca="false">($B25*$B$7+$C25*$C$7)/100</f>
        <v>0.0015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PHy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7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5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Ceratophyllum demersum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1717</v>
      </c>
      <c r="Q25" s="216" t="n">
        <f aca="false">IF(ISTEXT(H25),"",(B25*$B$7/100)+(C25*$C$7/100))</f>
        <v>0.0015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5</v>
      </c>
      <c r="T25" s="217" t="n">
        <f aca="false">IF(ISERROR(R25*I25*J25),0,R25*I25*J25)</f>
        <v>10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CERDEM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330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82</v>
      </c>
      <c r="B26" s="224" t="n">
        <v>10</v>
      </c>
      <c r="C26" s="225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Myriophyllum spicatum</v>
      </c>
      <c r="E26" s="226" t="e">
        <f aca="false">IF(D26="",0,VLOOKUP(D26,D$22:D25,1,0))</f>
        <v>#N/A</v>
      </c>
      <c r="F26" s="227" t="n">
        <f aca="false">($B26*$B$7+$C26*$C$7)/100</f>
        <v>8.5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PHy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7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8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Myriophyllum spicatum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1778</v>
      </c>
      <c r="Q26" s="216" t="n">
        <f aca="false">IF(ISTEXT(H26),"",(B26*$B$7/100)+(C26*$C$7/100))</f>
        <v>8.5</v>
      </c>
      <c r="R26" s="217" t="n">
        <f aca="false">IF(OR(ISTEXT(H26),Q26=0),"",IF(Q26&lt;0.1,1,IF(Q26&lt;1,2,IF(Q26&lt;10,3,IF(Q26&lt;50,4,IF(Q26&gt;=50,5,""))))))</f>
        <v>3</v>
      </c>
      <c r="S26" s="217" t="n">
        <f aca="false">IF(ISERROR(R26*I26),0,R26*I26)</f>
        <v>24</v>
      </c>
      <c r="T26" s="217" t="n">
        <f aca="false">IF(ISERROR(R26*I26*J26),0,R26*I26*J26)</f>
        <v>48</v>
      </c>
      <c r="U26" s="229" t="n">
        <f aca="false">IF(ISERROR(R26*J26),0,R26*J26)</f>
        <v>6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MYRSPI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373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16</v>
      </c>
      <c r="B27" s="224" t="n">
        <v>3</v>
      </c>
      <c r="C27" s="225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Nuphar lutea</v>
      </c>
      <c r="E27" s="226" t="e">
        <f aca="false">IF(D27="",0,VLOOKUP(D27,D$22:D26,1,0))</f>
        <v>#N/A</v>
      </c>
      <c r="F27" s="227" t="n">
        <f aca="false">($B27*$B$7+$C27*$C$7)/100</f>
        <v>2.55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PHy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7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9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Nuphar lutea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1839</v>
      </c>
      <c r="Q27" s="216" t="n">
        <f aca="false">IF(ISTEXT(H27),"",(B27*$B$7/100)+(C27*$C$7/100))</f>
        <v>2.55</v>
      </c>
      <c r="R27" s="217" t="n">
        <f aca="false">IF(OR(ISTEXT(H27),Q27=0),"",IF(Q27&lt;0.1,1,IF(Q27&lt;1,2,IF(Q27&lt;10,3,IF(Q27&lt;50,4,IF(Q27&gt;=50,5,""))))))</f>
        <v>3</v>
      </c>
      <c r="S27" s="217" t="n">
        <f aca="false">IF(ISERROR(R27*I27),0,R27*I27)</f>
        <v>27</v>
      </c>
      <c r="T27" s="217" t="n">
        <f aca="false">IF(ISERROR(R27*I27*J27),0,R27*I27*J27)</f>
        <v>27</v>
      </c>
      <c r="U27" s="229" t="n">
        <f aca="false">IF(ISERROR(R27*J27),0,R27*J27)</f>
        <v>3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NUPLUT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389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35</v>
      </c>
      <c r="C28" s="225" t="n">
        <v>0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Potamogeton nodosus</v>
      </c>
      <c r="E28" s="226" t="e">
        <f aca="false">IF(D28="",0,VLOOKUP(D28,D$22:D27,1,0))</f>
        <v>#N/A</v>
      </c>
      <c r="F28" s="227" t="n">
        <f aca="false">($B28*$B$7+$C28*$C$7)/100</f>
        <v>29.75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PHy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7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4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3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Potamogeton nodosus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1652</v>
      </c>
      <c r="Q28" s="216" t="n">
        <f aca="false">IF(ISTEXT(H28),"",(B28*$B$7/100)+(C28*$C$7/100))</f>
        <v>29.75</v>
      </c>
      <c r="R28" s="217" t="n">
        <f aca="false">IF(OR(ISTEXT(H28),Q28=0),"",IF(Q28&lt;0.1,1,IF(Q28&lt;1,2,IF(Q28&lt;10,3,IF(Q28&lt;50,4,IF(Q28&gt;=50,5,""))))))</f>
        <v>4</v>
      </c>
      <c r="S28" s="217" t="n">
        <f aca="false">IF(ISERROR(R28*I28),0,R28*I28)</f>
        <v>16</v>
      </c>
      <c r="T28" s="217" t="n">
        <f aca="false">IF(ISERROR(R28*I28*J28),0,R28*I28*J28)</f>
        <v>48</v>
      </c>
      <c r="U28" s="229" t="n">
        <f aca="false">IF(ISERROR(R28*J28),0,R28*J28)</f>
        <v>12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POTNOD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418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84</v>
      </c>
      <c r="B29" s="224" t="n">
        <v>30</v>
      </c>
      <c r="C29" s="225" t="n">
        <v>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Potamogeton pectinatus</v>
      </c>
      <c r="E29" s="226" t="e">
        <f aca="false">IF(D29="",0,VLOOKUP(D29,D$22:D28,1,0))</f>
        <v>#N/A</v>
      </c>
      <c r="F29" s="227" t="n">
        <f aca="false">($B29*$B$7+$C29*$C$7)/100</f>
        <v>25.5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PHy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7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2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Potamogeton pectinatus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1655</v>
      </c>
      <c r="Q29" s="216" t="n">
        <f aca="false">IF(ISTEXT(H29),"",(B29*$B$7/100)+(C29*$C$7/100))</f>
        <v>25.5</v>
      </c>
      <c r="R29" s="217" t="n">
        <f aca="false">IF(OR(ISTEXT(H29),Q29=0),"",IF(Q29&lt;0.1,1,IF(Q29&lt;1,2,IF(Q29&lt;10,3,IF(Q29&lt;50,4,IF(Q29&gt;=50,5,""))))))</f>
        <v>4</v>
      </c>
      <c r="S29" s="217" t="n">
        <f aca="false">IF(ISERROR(R29*I29),0,R29*I29)</f>
        <v>8</v>
      </c>
      <c r="T29" s="217" t="n">
        <f aca="false">IF(ISERROR(R29*I29*J29),0,R29*I29*J29)</f>
        <v>16</v>
      </c>
      <c r="U29" s="229" t="n">
        <f aca="false">IF(ISERROR(R29*J29),0,R29*J29)</f>
        <v>8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POTPEC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421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85</v>
      </c>
      <c r="B30" s="224" t="n">
        <v>4</v>
      </c>
      <c r="C30" s="225" t="n">
        <v>0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Sparganium emersum fo. Longissimum</v>
      </c>
      <c r="E30" s="226" t="e">
        <f aca="false">IF(D30="",0,VLOOKUP(D30,D$22:D29,1,0))</f>
        <v>#N/A</v>
      </c>
      <c r="F30" s="227" t="n">
        <f aca="false">($B30*$B$7+$C30*$C$7)/100</f>
        <v>3.4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PHy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7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7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1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Sparganium emersum fo. Longissimum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19695</v>
      </c>
      <c r="Q30" s="216" t="n">
        <f aca="false">IF(ISTEXT(H30),"",(B30*$B$7/100)+(C30*$C$7/100))</f>
        <v>3.4</v>
      </c>
      <c r="R30" s="217" t="n">
        <f aca="false">IF(OR(ISTEXT(H30),Q30=0),"",IF(Q30&lt;0.1,1,IF(Q30&lt;1,2,IF(Q30&lt;10,3,IF(Q30&lt;50,4,IF(Q30&gt;=50,5,""))))))</f>
        <v>3</v>
      </c>
      <c r="S30" s="217" t="n">
        <f aca="false">IF(ISERROR(R30*I30),0,R30*I30)</f>
        <v>21</v>
      </c>
      <c r="T30" s="217" t="n">
        <f aca="false">IF(ISERROR(R30*I30*J30),0,R30*I30*J30)</f>
        <v>21</v>
      </c>
      <c r="U30" s="229" t="n">
        <f aca="false">IF(ISERROR(R30*J30),0,R30*J30)</f>
        <v>3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SPAEML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482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86</v>
      </c>
      <c r="B31" s="224" t="n">
        <v>0</v>
      </c>
      <c r="C31" s="225" t="n">
        <v>0.01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Solanum dulcamara</v>
      </c>
      <c r="E31" s="226" t="e">
        <f aca="false">IF(D31="",0,VLOOKUP(D31,D$22:D30,1,0))</f>
        <v>#N/A</v>
      </c>
      <c r="F31" s="227" t="n">
        <f aca="false">($B31*$B$7+$C31*$C$7)/100</f>
        <v>0.0015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PHg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9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Solanum dulcamara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1964</v>
      </c>
      <c r="Q31" s="216" t="n">
        <f aca="false">IF(ISTEXT(H31),"",(B31*$B$7/100)+(C31*$C$7/100))</f>
        <v>0.0015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SOADUL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824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87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Veyle</v>
      </c>
      <c r="B84" s="259" t="str">
        <f aca="false">C3</f>
        <v>Veyle à Grièges</v>
      </c>
      <c r="C84" s="260" t="n">
        <f aca="false">A4</f>
        <v>41807</v>
      </c>
      <c r="D84" s="261" t="n">
        <f aca="false">IF(ISERROR(SUM($T$23:$T$82)/SUM($U$23:$U$82)),"",SUM($T$23:$T$82)/SUM($U$23:$U$82))</f>
        <v>5.51351351351351</v>
      </c>
      <c r="E84" s="262" t="n">
        <f aca="false">N13</f>
        <v>9</v>
      </c>
      <c r="F84" s="259" t="n">
        <f aca="false">N14</f>
        <v>8</v>
      </c>
      <c r="G84" s="259" t="n">
        <f aca="false">N15</f>
        <v>3</v>
      </c>
      <c r="H84" s="259" t="n">
        <f aca="false">N16</f>
        <v>4</v>
      </c>
      <c r="I84" s="259" t="n">
        <f aca="false">N17</f>
        <v>1</v>
      </c>
      <c r="J84" s="263" t="n">
        <f aca="false">N8</f>
        <v>6.75</v>
      </c>
      <c r="K84" s="261" t="n">
        <f aca="false">N9</f>
        <v>3.79967103839267</v>
      </c>
      <c r="L84" s="262" t="n">
        <f aca="false">N10</f>
        <v>2</v>
      </c>
      <c r="M84" s="262" t="n">
        <f aca="false">N11</f>
        <v>15</v>
      </c>
      <c r="N84" s="261" t="n">
        <f aca="false">O8</f>
        <v>1.75</v>
      </c>
      <c r="O84" s="261" t="n">
        <f aca="false">O9</f>
        <v>0.661437827766148</v>
      </c>
      <c r="P84" s="262" t="n">
        <f aca="false">O10</f>
        <v>1</v>
      </c>
      <c r="Q84" s="262" t="n">
        <f aca="false">O11</f>
        <v>3</v>
      </c>
      <c r="R84" s="262" t="n">
        <f aca="false">F21</f>
        <v>69.713</v>
      </c>
      <c r="S84" s="262" t="n">
        <f aca="false">K11</f>
        <v>0</v>
      </c>
      <c r="T84" s="262" t="n">
        <f aca="false">K12</f>
        <v>2</v>
      </c>
      <c r="U84" s="262" t="n">
        <f aca="false">K13</f>
        <v>0</v>
      </c>
      <c r="V84" s="264" t="n">
        <f aca="false">K14</f>
        <v>0</v>
      </c>
      <c r="W84" s="265" t="n">
        <f aca="false">K15</f>
        <v>7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88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89</v>
      </c>
      <c r="R87" s="10"/>
      <c r="S87" s="218" t="n">
        <f aca="false">VLOOKUP(MAX($S$23:$S$82),($S$23:$U$82),1,0)</f>
        <v>27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90</v>
      </c>
      <c r="R88" s="10"/>
      <c r="S88" s="218" t="n">
        <f aca="false">VLOOKUP((S87),($S$23:$U$82),2,0)</f>
        <v>27</v>
      </c>
      <c r="T88" s="10"/>
      <c r="U88" s="10"/>
      <c r="V88" s="10"/>
    </row>
    <row r="89" customFormat="false" ht="12.75" hidden="true" customHeight="false" outlineLevel="0" collapsed="false">
      <c r="Q89" s="10" t="s">
        <v>91</v>
      </c>
      <c r="R89" s="10"/>
      <c r="S89" s="218" t="n">
        <f aca="false">VLOOKUP((S87),($S$23:$U$82),3,0)</f>
        <v>3</v>
      </c>
      <c r="T89" s="10"/>
    </row>
    <row r="90" customFormat="false" ht="12.75" hidden="false" customHeight="false" outlineLevel="0" collapsed="false">
      <c r="Q90" s="10" t="s">
        <v>92</v>
      </c>
      <c r="R90" s="10"/>
      <c r="S90" s="268" t="n">
        <f aca="false">IF(ISERROR(SUM($T$23:$T$82)/SUM($U$23:$U$82)),"",(SUM($T$23:$T$82)-S88)/(SUM($U$23:$U$82)-S89))</f>
        <v>5.20588235294118</v>
      </c>
      <c r="T90" s="10"/>
    </row>
    <row r="91" customFormat="false" ht="12.75" hidden="false" customHeight="false" outlineLevel="0" collapsed="false">
      <c r="Q91" s="217" t="s">
        <v>93</v>
      </c>
      <c r="R91" s="217"/>
      <c r="S91" s="217" t="str">
        <f aca="false">INDEX('[2]liste reference'!$A$8:$A$904,$T$91)</f>
        <v>NUPLUT</v>
      </c>
      <c r="T91" s="10" t="n">
        <f aca="false">IF(ISERROR(MATCH($S$93,'[2]liste reference'!$A$8:$A$904,0)),MATCH($S$93,'[2]liste reference'!$B$8:$B$904,0),(MATCH($S$93,'[2]liste reference'!$A$8:$A$904,0)))</f>
        <v>389</v>
      </c>
      <c r="U91" s="257"/>
    </row>
    <row r="92" customFormat="false" ht="12.75" hidden="false" customHeight="false" outlineLevel="0" collapsed="false">
      <c r="Q92" s="10" t="s">
        <v>94</v>
      </c>
      <c r="R92" s="10"/>
      <c r="S92" s="10" t="n">
        <f aca="false">MATCH(S87,$S$23:$S$82,0)</f>
        <v>5</v>
      </c>
      <c r="T92" s="10"/>
    </row>
    <row r="93" customFormat="false" ht="12.75" hidden="false" customHeight="false" outlineLevel="0" collapsed="false">
      <c r="Q93" s="217" t="s">
        <v>95</v>
      </c>
      <c r="R93" s="10"/>
      <c r="S93" s="217" t="str">
        <f aca="false">INDEX($A$23:$A$82,$S$92)</f>
        <v>NUPLUT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2014-12-19T16:31:53Z</dcterms:created>
  <dc:creator>Laurent Bourgoin</dc:creator>
  <dc:description/>
  <dc:language>fr-FR</dc:language>
  <cp:lastModifiedBy>REPELLINI Franck</cp:lastModifiedBy>
  <dcterms:modified xsi:type="dcterms:W3CDTF">2016-09-08T15:20:45Z</dcterms:modified>
  <cp:revision>0</cp:revision>
  <dc:subject/>
  <dc:title/>
</cp:coreProperties>
</file>