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<sst xmlns="http://schemas.openxmlformats.org/spreadsheetml/2006/main" count="161" uniqueCount="95">
  <si>
    <t xml:space="preserve">Relevés floristiques aquatiques - IBMR</t>
  </si>
  <si>
    <t xml:space="preserve">modèle Irstea-GIS</t>
  </si>
  <si>
    <t xml:space="preserve">SAGE ENVIRONNEMENT</t>
  </si>
  <si>
    <t xml:space="preserve">BERNARD CYRIL BELLY PIERRE</t>
  </si>
  <si>
    <t xml:space="preserve">ROCHEFORT</t>
  </si>
  <si>
    <t xml:space="preserve">ROCHEFORT AUX ARDILLATS</t>
  </si>
  <si>
    <t xml:space="preserve">06051350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</si>
  <si>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</si>
  <si>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</si>
  <si>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</si>
  <si>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</si>
  <si>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</si>
  <si>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</si>
  <si>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</si>
  <si>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</si>
  <si>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</si>
  <si>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PHOSPX</t>
  </si>
  <si>
    <t xml:space="preserve">Faciès dominant</t>
  </si>
  <si>
    <t xml:space="preserve">rapide</t>
  </si>
  <si>
    <t xml:space="preserve">pl. lent</t>
  </si>
  <si>
    <t xml:space="preserve">niveau trophique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</si>
  <si>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</si>
  <si>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</si>
  <si>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</si>
  <si>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</si>
  <si>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</si>
  <si>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</si>
  <si>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</si>
  <si>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</si>
  <si>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</si>
  <si>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</si>
  <si>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</si>
  <si>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</si>
  <si>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</si>
  <si>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</si>
  <si>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</si>
  <si>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</si>
  <si>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</si>
  <si>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</si>
  <si>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</si>
  <si>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</si>
  <si>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</si>
  <si>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</si>
  <si>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</si>
  <si>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</si>
  <si>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</si>
  <si>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</si>
  <si>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</si>
  <si>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</si>
  <si>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</si>
  <si>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</si>
  <si>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</si>
  <si>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</si>
  <si>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</si>
  <si>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</si>
  <si>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</si>
  <si>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</si>
  <si>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</si>
  <si>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</si>
  <si>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</si>
  <si>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</si>
  <si>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</si>
  <si>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</si>
  <si>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</si>
  <si>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</si>
  <si>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</si>
  <si>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</si>
  <si>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</si>
  <si>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</si>
  <si>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</si>
  <si>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</si>
  <si>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</si>
  <si>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</si>
  <si>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</si>
  <si>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</si>
  <si>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</si>
  <si>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</si>
  <si>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</si>
  <si>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</si>
  <si>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ENCSPX</t>
  </si>
  <si>
    <t xml:space="preserve"> -</t>
  </si>
  <si>
    <t xml:space="preserve">HILSPX</t>
  </si>
  <si>
    <t xml:space="preserve">PAASPX</t>
  </si>
  <si>
    <t xml:space="preserve">CHIPOL</t>
  </si>
  <si>
    <t xml:space="preserve">HYAFLU</t>
  </si>
  <si>
    <t xml:space="preserve">RHYRIP</t>
  </si>
  <si>
    <t xml:space="preserve">PHAARU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</si>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</sst>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ROCAR_30-09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42277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12.8</v>
      </c>
      <c r="N5" s="51"/>
      <c r="O5" s="52" t="s">
        <v>16</v>
      </c>
      <c r="P5" s="53" t="n">
        <v>12.7272727272727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85</v>
      </c>
      <c r="C7" s="69" t="n">
        <v>15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12.6666666666667</v>
      </c>
      <c r="P8" s="83" t="n">
        <f aca="false">IF(ISERROR(AVERAGE(K23:K82)),"  ",AVERAGE(K23:K82))</f>
        <v>1.66666666666667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15.36</v>
      </c>
      <c r="C9" s="86" t="n">
        <v>1.07</v>
      </c>
      <c r="D9" s="87"/>
      <c r="E9" s="87"/>
      <c r="F9" s="88" t="n">
        <f aca="false">($B9*$B$7+$C9*$C$7)/100</f>
        <v>13.2165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1.88561808316413</v>
      </c>
      <c r="P9" s="83" t="n">
        <f aca="false">IF(ISERROR(STDEVP(K23:K82)),"  ",STDEVP(K23:K82))</f>
        <v>0.471404520791032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10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0.28</v>
      </c>
      <c r="C12" s="111" t="n">
        <v>0.05</v>
      </c>
      <c r="D12" s="87"/>
      <c r="E12" s="87"/>
      <c r="F12" s="104" t="n">
        <f aca="false">($B12*$B$7+$C12*$C$7)/100</f>
        <v>0.2455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15.08</v>
      </c>
      <c r="C13" s="111" t="n">
        <v>1.01</v>
      </c>
      <c r="D13" s="87"/>
      <c r="E13" s="87"/>
      <c r="F13" s="104" t="n">
        <f aca="false">($B13*$B$7+$C13*$C$7)/100</f>
        <v>12.9695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3</v>
      </c>
      <c r="M13" s="108"/>
      <c r="N13" s="116" t="s">
        <v>41</v>
      </c>
      <c r="O13" s="117" t="n">
        <f aca="false">COUNTIF(F23:F82,"&gt;0")</f>
        <v>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6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 t="n">
        <v>0.01</v>
      </c>
      <c r="D15" s="87"/>
      <c r="E15" s="87"/>
      <c r="F15" s="104" t="n">
        <f aca="false">($B15*$B$7+$C15*$C$7)/100</f>
        <v>0.0015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47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15.36</v>
      </c>
      <c r="C17" s="111" t="n">
        <v>1.06</v>
      </c>
      <c r="D17" s="87"/>
      <c r="E17" s="87"/>
      <c r="F17" s="129"/>
      <c r="G17" s="130" t="n">
        <f aca="false">($B17*$B$7+$C17*$C$7)/100</f>
        <v>13.215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0.75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 t="n">
        <v>0.01</v>
      </c>
      <c r="D18" s="87"/>
      <c r="E18" s="139" t="s">
        <v>54</v>
      </c>
      <c r="F18" s="129"/>
      <c r="G18" s="130" t="n">
        <f aca="false">($B18*$B$7+$C18*$C$7)/100</f>
        <v>0.0015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13.2165</v>
      </c>
      <c r="G19" s="150" t="n">
        <f aca="false">SUM(G16:G18)</f>
        <v>13.2165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15.36</v>
      </c>
      <c r="C20" s="160" t="n">
        <f aca="false">SUM(C23:C62)</f>
        <v>1.07</v>
      </c>
      <c r="D20" s="161"/>
      <c r="E20" s="162" t="s">
        <v>54</v>
      </c>
      <c r="F20" s="163" t="n">
        <f aca="false">($B20*$B$7+$C20*$C$7)/100</f>
        <v>13.2165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13.056</v>
      </c>
      <c r="C21" s="171" t="n">
        <f aca="false">C20*C7/100</f>
        <v>0.1605</v>
      </c>
      <c r="D21" s="172" t="s">
        <v>57</v>
      </c>
      <c r="E21" s="173"/>
      <c r="F21" s="174" t="n">
        <f aca="false">B21+C21</f>
        <v>13.2165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0.05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Encyonema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0.044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str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nc</v>
      </c>
      <c r="K23" s="206" t="str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nc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Encyonema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9378</v>
      </c>
      <c r="R23" s="211" t="n">
        <f aca="false">IF(ISTEXT(H23),"",(B23*$B$7/100)+(C23*$C$7/100))</f>
        <v>0.044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0</v>
      </c>
      <c r="U23" s="212" t="n">
        <f aca="false">IF(ISERROR(S23*J23*K23),0,S23*J23*K23)</f>
        <v>0</v>
      </c>
      <c r="V23" s="212" t="n">
        <f aca="false">IF(ISERROR(S23*K23),0,S23*K23)</f>
        <v>0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ENCSPX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45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Hildenbrandia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0.0085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15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Hildenbrandia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1157</v>
      </c>
      <c r="R24" s="211" t="n">
        <f aca="false">IF(ISTEXT(H24),"",(B24*$B$7/100)+(C24*$C$7/100))</f>
        <v>0.0085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15</v>
      </c>
      <c r="U24" s="212" t="n">
        <f aca="false">IF(ISERROR(S24*J24*K24),0,S24*J24*K24)</f>
        <v>30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HILSPX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53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Paralemanea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0.0085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str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nc</v>
      </c>
      <c r="K25" s="224" t="str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nc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Paralemanea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31566</v>
      </c>
      <c r="R25" s="211" t="n">
        <f aca="false">IF(ISTEXT(H25),"",(B25*$B$7/100)+(C25*$C$7/100))</f>
        <v>0.0085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0</v>
      </c>
      <c r="U25" s="212" t="n">
        <f aca="false">IF(ISERROR(S25*J25*K25),0,S25*J25*K25)</f>
        <v>0</v>
      </c>
      <c r="V25" s="228" t="n">
        <f aca="false">IF(ISERROR(S25*K25),0,S25*K25)</f>
        <v>0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PAASPX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87</v>
      </c>
    </row>
    <row r="26" customFormat="false" ht="12.75" hidden="false" customHeight="false" outlineLevel="0" collapsed="false">
      <c r="A26" s="216" t="s">
        <v>16</v>
      </c>
      <c r="B26" s="217" t="n">
        <v>0.21</v>
      </c>
      <c r="C26" s="218" t="n">
        <v>0.04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Phormidium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0.1845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Phormidium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6414</v>
      </c>
      <c r="R26" s="211" t="n">
        <f aca="false">IF(ISTEXT(H26),"",(B26*$B$7/100)+(C26*$C$7/100))</f>
        <v>0.1845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26</v>
      </c>
      <c r="U26" s="212" t="n">
        <f aca="false">IF(ISERROR(S26*J26*K26),0,S26*J26*K26)</f>
        <v>52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PHOSPX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88</v>
      </c>
    </row>
    <row r="27" customFormat="false" ht="12.75" hidden="false" customHeight="false" outlineLevel="0" collapsed="false">
      <c r="A27" s="216" t="s">
        <v>83</v>
      </c>
      <c r="B27" s="217" t="n">
        <v>0.01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Chiloscyphus polyanthos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0.0085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BRh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4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Chiloscyphus polyanthos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1186</v>
      </c>
      <c r="R27" s="211" t="n">
        <f aca="false">IF(ISTEXT(H27),"",(B27*$B$7/100)+(C27*$C$7/100))</f>
        <v>0.0085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15</v>
      </c>
      <c r="U27" s="212" t="n">
        <f aca="false">IF(ISERROR(S27*J27*K27),0,S27*J27*K27)</f>
        <v>30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CHIPOL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137</v>
      </c>
    </row>
    <row r="28" customFormat="false" ht="12.75" hidden="false" customHeight="false" outlineLevel="0" collapsed="false">
      <c r="A28" s="216" t="s">
        <v>84</v>
      </c>
      <c r="B28" s="217" t="n">
        <v>0.05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Hygroamblystegium fluviatile 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0.0425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11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Hygroamblystegium fluviatile 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1237</v>
      </c>
      <c r="R28" s="211" t="n">
        <f aca="false">IF(ISTEXT(H28),"",(B28*$B$7/100)+(C28*$C$7/100))</f>
        <v>0.0425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11</v>
      </c>
      <c r="U28" s="212" t="n">
        <f aca="false">IF(ISERROR(S28*J28*K28),0,S28*J28*K28)</f>
        <v>22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HYAFLU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281</v>
      </c>
    </row>
    <row r="29" customFormat="false" ht="12.75" hidden="false" customHeight="false" outlineLevel="0" collapsed="false">
      <c r="A29" s="216" t="s">
        <v>85</v>
      </c>
      <c r="B29" s="217" t="n">
        <v>15.02</v>
      </c>
      <c r="C29" s="218" t="n">
        <v>1.01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Rhynchostegium riparioides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12.9185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12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Rhynchostegium riparioides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31691</v>
      </c>
      <c r="R29" s="211" t="n">
        <f aca="false">IF(ISTEXT(H29),"",(B29*$B$7/100)+(C29*$C$7/100))</f>
        <v>12.9185</v>
      </c>
      <c r="S29" s="212" t="n">
        <f aca="false">IF(OR(ISTEXT(H29),R29=0),"",IF(R29&lt;0.1,1,IF(R29&lt;1,2,IF(R29&lt;10,3,IF(R29&lt;50,4,IF(R29&gt;=50,5,""))))))</f>
        <v>4</v>
      </c>
      <c r="T29" s="212" t="n">
        <f aca="false">IF(ISERROR(S29*J29),0,S29*J29)</f>
        <v>48</v>
      </c>
      <c r="U29" s="212" t="n">
        <f aca="false">IF(ISERROR(S29*J29*K29),0,S29*J29*K29)</f>
        <v>48</v>
      </c>
      <c r="V29" s="228" t="n">
        <f aca="false">IF(ISERROR(S29*K29),0,S29*K29)</f>
        <v>4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RHYRIP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345</v>
      </c>
    </row>
    <row r="30" customFormat="false" ht="12.75" hidden="false" customHeight="false" outlineLevel="0" collapsed="false">
      <c r="A30" s="216" t="s">
        <v>86</v>
      </c>
      <c r="B30" s="217" t="n">
        <v>0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Phalaris arundinacea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0.0015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PHe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8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10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Phalaris arundinacea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1577</v>
      </c>
      <c r="R30" s="211" t="n">
        <f aca="false">IF(ISTEXT(H30),"",(B30*$B$7/100)+(C30*$C$7/100))</f>
        <v>0.0015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10</v>
      </c>
      <c r="U30" s="212" t="n">
        <f aca="false">IF(ISERROR(S30*J30*K30),0,S30*J30*K30)</f>
        <v>10</v>
      </c>
      <c r="V30" s="228" t="n">
        <f aca="false">IF(ISERROR(S30*K30),0,S30*K30)</f>
        <v>1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PHAARU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707</v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80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13.2165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15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ROCHEFORT</v>
      </c>
      <c r="B84" s="180" t="str">
        <f aca="false">C3</f>
        <v>ROCHEFORT AUX ARDILLATS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12.8</v>
      </c>
      <c r="E84" s="254" t="n">
        <f aca="false">O13</f>
        <v>8</v>
      </c>
      <c r="F84" s="180" t="n">
        <f aca="false">O14</f>
        <v>6</v>
      </c>
      <c r="G84" s="180" t="n">
        <f aca="false">O15</f>
        <v>2</v>
      </c>
      <c r="H84" s="180" t="n">
        <f aca="false">O16</f>
        <v>4</v>
      </c>
      <c r="I84" s="180" t="n">
        <f aca="false">O17</f>
        <v>0</v>
      </c>
      <c r="J84" s="255" t="n">
        <f aca="false">O8</f>
        <v>12.6666666666667</v>
      </c>
      <c r="K84" s="256" t="n">
        <f aca="false">O9</f>
        <v>1.88561808316413</v>
      </c>
      <c r="L84" s="257" t="n">
        <f aca="false">O10</f>
        <v>10</v>
      </c>
      <c r="M84" s="257" t="n">
        <f aca="false">O11</f>
        <v>15</v>
      </c>
      <c r="N84" s="256" t="n">
        <f aca="false">P8</f>
        <v>1.66666666666667</v>
      </c>
      <c r="O84" s="256" t="n">
        <f aca="false">P9</f>
        <v>0.471404520791032</v>
      </c>
      <c r="P84" s="257" t="n">
        <f aca="false">P10</f>
        <v>1</v>
      </c>
      <c r="Q84" s="257" t="n">
        <f aca="false">P11</f>
        <v>2</v>
      </c>
      <c r="R84" s="257" t="n">
        <f aca="false">F21</f>
        <v>13.2165</v>
      </c>
      <c r="S84" s="257" t="n">
        <f aca="false">L11</f>
        <v>0</v>
      </c>
      <c r="T84" s="257" t="n">
        <f aca="false">L12</f>
        <v>4</v>
      </c>
      <c r="U84" s="257" t="n">
        <f aca="false">L13</f>
        <v>3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26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52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12.7272727272727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PHOSPX</v>
      </c>
      <c r="U91" s="8" t="n">
        <f aca="false">IF(ISERROR(MATCH($T$93,'[1]liste reference'!$A$6:$A$1174,0)),MATCH($T$93,'[1]liste reference'!$B$6:$B$1174,0),(MATCH($T$93,'[1]liste reference'!$A$6:$A$1174,0)))</f>
        <v>88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PHOSPX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2016-04-01T09:33:57Z</dcterms:created>
  <dc:creator>Pierre-Edouard Belly</dc:creator>
  <dc:description/>
  <dc:language>fr-FR</dc:language>
  <cp:lastModifiedBy>Pierre-Edouard Belly</cp:lastModifiedBy>
  <dcterms:modified xsi:type="dcterms:W3CDTF">2016-04-01T09:33:59Z</dcterms:modified>
  <cp:revision>0</cp:revision>
  <dc:subject/>
  <dc:title/>
</cp:coreProperties>
</file>