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<sst xmlns="http://schemas.openxmlformats.org/spreadsheetml/2006/main" count="89" uniqueCount="86">
  <si>
    <t xml:space="preserve">Relevés floristiques aquatiques - IBMR</t>
  </si>
  <si>
    <t xml:space="preserve">Formulaire modèle GIS Macrophytes v_2.6 - février 2012</t>
  </si>
  <si>
    <t xml:space="preserve">SAGE</t>
  </si>
  <si>
    <t xml:space="preserve">C.BERNARD L.ISEBE</t>
  </si>
  <si>
    <t xml:space="preserve">conforme AFNOR T90-395 oct. 2003</t>
  </si>
  <si>
    <t xml:space="preserve">ARDIERE</t>
  </si>
  <si>
    <t xml:space="preserve">ARDIERE A SAINT JEAN D ARDIERES</t>
  </si>
  <si>
    <t xml:space="preserve">06051550</t>
  </si>
  <si>
    <t xml:space="preserve">AERMC</t>
  </si>
  <si>
    <t xml:space="preserve">Résultats</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</si>
  <si>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</si>
  <si>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</si>
  <si>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</si>
  <si>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</si>
  <si>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</si>
  <si>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</si>
  <si>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</si>
  <si>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</si>
  <si>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</si>
  <si>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</si>
  <si>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</si>
  <si>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</si>
  <si>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</si>
  <si>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</si>
  <si>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</si>
  <si>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</si>
  <si>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</si>
  <si>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</si>
  <si>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</si>
  <si>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</si>
  <si>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</si>
  <si>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</si>
  <si>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</si>
  <si>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</si>
  <si>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</si>
  <si>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</si>
  <si>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</si>
  <si>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</si>
  <si>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</si>
  <si>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</si>
  <si>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</si>
  <si>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</si>
  <si>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</si>
  <si>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</si>
  <si>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</si>
  <si>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</si>
  <si>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</si>
  <si>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</si>
  <si>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</si>
  <si>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</si>
  <si>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</si>
  <si>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</si>
  <si>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</si>
  <si>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</si>
  <si>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</si>
  <si>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</si>
  <si>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</si>
  <si>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</si>
  <si>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</si>
  <si>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</si>
  <si>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</si>
  <si>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</si>
  <si>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</si>
  <si>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</si>
  <si>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</si>
  <si>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</si>
  <si>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</si>
  <si>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</si>
  <si>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</si>
  <si>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</si>
  <si>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</si>
  <si>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</si>
  <si>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</si>
  <si>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</si>
  <si>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LEASPX</t>
  </si>
  <si>
    <t xml:space="preserve">NEWCOD</t>
  </si>
  <si>
    <t xml:space="preserve">Corylus avellana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</si>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</sst>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4" borderId="24" xfId="0" applyFont="true" applyBorder="true" applyAlignment="true" applyProtection="true">
      <alignment horizontal="left" vertical="top" textRotation="0" wrapText="false" indent="0" shrinkToFit="false"/>
      <protection locked="true" hidden="true"/>
    </xf>
    <xf numFmtId="167" fontId="30" fillId="4"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4"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F_IBMR_ARDIE.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41087</v>
      </c>
      <c r="B4" s="34"/>
      <c r="C4" s="35"/>
      <c r="D4" s="36"/>
      <c r="E4" s="36"/>
      <c r="F4" s="35"/>
      <c r="G4" s="35"/>
      <c r="H4" s="36"/>
      <c r="I4" s="37" t="s">
        <v>9</v>
      </c>
      <c r="J4" s="38"/>
      <c r="K4" s="38"/>
      <c r="L4" s="39"/>
      <c r="M4" s="39"/>
      <c r="N4" s="40"/>
      <c r="O4" s="39"/>
      <c r="P4" s="41"/>
      <c r="Q4" s="10"/>
      <c r="R4" s="10"/>
      <c r="S4" s="10"/>
      <c r="T4" s="10"/>
      <c r="U4" s="10"/>
      <c r="V4" s="10"/>
      <c r="W4" s="22"/>
      <c r="X4" s="42"/>
    </row>
    <row r="5" customFormat="false" ht="14.25" hidden="false" customHeight="true" outlineLevel="0" collapsed="false">
      <c r="A5" s="43" t="s">
        <v>10</v>
      </c>
      <c r="B5" s="44" t="s">
        <v>11</v>
      </c>
      <c r="C5" s="45" t="s">
        <v>12</v>
      </c>
      <c r="D5" s="46"/>
      <c r="E5" s="46"/>
      <c r="F5" s="47" t="s">
        <v>13</v>
      </c>
      <c r="G5" s="48"/>
      <c r="H5" s="46"/>
      <c r="I5" s="49"/>
      <c r="J5" s="50"/>
      <c r="K5" s="51" t="s">
        <v>14</v>
      </c>
      <c r="L5" s="52" t="n">
        <v>15</v>
      </c>
      <c r="M5" s="53"/>
      <c r="N5" s="54"/>
      <c r="O5" s="55"/>
      <c r="P5" s="56"/>
      <c r="Q5" s="10"/>
      <c r="R5" s="10"/>
      <c r="S5" s="10"/>
      <c r="T5" s="10"/>
      <c r="U5" s="10"/>
      <c r="V5" s="10"/>
      <c r="W5" s="22"/>
      <c r="X5" s="42"/>
    </row>
    <row r="6" customFormat="false" ht="13.5" hidden="false" customHeight="false" outlineLevel="0" collapsed="false">
      <c r="A6" s="43" t="s">
        <v>15</v>
      </c>
      <c r="B6" s="57" t="s">
        <v>16</v>
      </c>
      <c r="C6" s="57" t="s">
        <v>17</v>
      </c>
      <c r="D6" s="46"/>
      <c r="E6" s="46"/>
      <c r="F6" s="47"/>
      <c r="G6" s="48"/>
      <c r="H6" s="46"/>
      <c r="I6" s="58" t="s">
        <v>18</v>
      </c>
      <c r="J6" s="59"/>
      <c r="K6" s="60"/>
      <c r="L6" s="61" t="s">
        <v>19</v>
      </c>
      <c r="M6" s="62"/>
      <c r="N6" s="63"/>
      <c r="O6" s="63"/>
      <c r="P6" s="64"/>
      <c r="Q6" s="10"/>
      <c r="R6" s="10"/>
      <c r="S6" s="10"/>
      <c r="T6" s="10"/>
      <c r="U6" s="10"/>
      <c r="V6" s="10"/>
      <c r="W6" s="22"/>
      <c r="X6" s="23"/>
    </row>
    <row r="7" customFormat="false" ht="12.75" hidden="false" customHeight="false" outlineLevel="0" collapsed="false">
      <c r="A7" s="65" t="s">
        <v>20</v>
      </c>
      <c r="B7" s="66" t="n">
        <v>85</v>
      </c>
      <c r="C7" s="67" t="n">
        <v>15</v>
      </c>
      <c r="D7" s="68"/>
      <c r="E7" s="68"/>
      <c r="F7" s="69" t="n">
        <f aca="false">IF((OR((B7+C7=100),(B7+C7=0))),B7+C7,"ATTENTION")</f>
        <v>100</v>
      </c>
      <c r="G7" s="70"/>
      <c r="H7" s="68"/>
      <c r="I7" s="71"/>
      <c r="J7" s="72"/>
      <c r="K7" s="73"/>
      <c r="L7" s="74"/>
      <c r="M7" s="75"/>
      <c r="N7" s="76" t="s">
        <v>21</v>
      </c>
      <c r="O7" s="76" t="s">
        <v>22</v>
      </c>
      <c r="P7" s="77"/>
      <c r="Q7" s="10"/>
      <c r="R7" s="10"/>
      <c r="S7" s="10"/>
      <c r="T7" s="10"/>
      <c r="U7" s="10"/>
      <c r="V7" s="10"/>
      <c r="W7" s="22"/>
      <c r="X7" s="23"/>
    </row>
    <row r="8" customFormat="false" ht="12.75" hidden="false" customHeight="false" outlineLevel="0" collapsed="false">
      <c r="A8" s="78" t="s">
        <v>23</v>
      </c>
      <c r="B8" s="78"/>
      <c r="C8" s="78"/>
      <c r="D8" s="68"/>
      <c r="E8" s="68"/>
      <c r="F8" s="79" t="s">
        <v>24</v>
      </c>
      <c r="G8" s="80"/>
      <c r="H8" s="81"/>
      <c r="I8" s="71"/>
      <c r="J8" s="72"/>
      <c r="K8" s="73"/>
      <c r="L8" s="74"/>
      <c r="M8" s="82" t="s">
        <v>25</v>
      </c>
      <c r="N8" s="83" t="n">
        <f aca="false">AVERAGE(I23:I82)</f>
        <v>15</v>
      </c>
      <c r="O8" s="83" t="n">
        <f aca="false">AVERAGE(J23:J82)</f>
        <v>2</v>
      </c>
      <c r="P8" s="84"/>
      <c r="Q8" s="10"/>
      <c r="R8" s="10"/>
      <c r="S8" s="10"/>
      <c r="T8" s="10"/>
      <c r="U8" s="10"/>
      <c r="V8" s="10"/>
      <c r="W8" s="22"/>
      <c r="X8" s="23"/>
    </row>
    <row r="9" customFormat="false" ht="13.5" hidden="false" customHeight="false" outlineLevel="0" collapsed="false">
      <c r="A9" s="43" t="s">
        <v>26</v>
      </c>
      <c r="B9" s="85" t="n">
        <v>0.8</v>
      </c>
      <c r="C9" s="86" t="n">
        <v>0.1</v>
      </c>
      <c r="D9" s="87"/>
      <c r="E9" s="87"/>
      <c r="F9" s="88" t="n">
        <f aca="false">($B9*$B$7+$C9*$C$7)/100</f>
        <v>0.695</v>
      </c>
      <c r="G9" s="89"/>
      <c r="H9" s="90"/>
      <c r="I9" s="91"/>
      <c r="J9" s="92"/>
      <c r="K9" s="73"/>
      <c r="L9" s="93"/>
      <c r="M9" s="82" t="s">
        <v>27</v>
      </c>
      <c r="N9" s="83" t="e">
        <f aca="false">STDEV(I23:I82)</f>
        <v>#DIV/0!</v>
      </c>
      <c r="O9" s="83" t="e">
        <f aca="false">STDEV(J23:J82)</f>
        <v>#DIV/0!</v>
      </c>
      <c r="P9" s="84"/>
      <c r="Q9" s="10"/>
      <c r="R9" s="10"/>
      <c r="S9" s="10"/>
      <c r="T9" s="10"/>
      <c r="U9" s="10"/>
      <c r="V9" s="10"/>
      <c r="W9" s="94"/>
      <c r="X9" s="95"/>
    </row>
    <row r="10" customFormat="false" ht="13.5" hidden="false" customHeight="false" outlineLevel="0" collapsed="false">
      <c r="A10" s="96" t="s">
        <v>28</v>
      </c>
      <c r="B10" s="97"/>
      <c r="C10" s="98"/>
      <c r="D10" s="99"/>
      <c r="E10" s="99"/>
      <c r="F10" s="88" t="n">
        <f aca="false">($B10*$B$7+$C10*$C$7)/100</f>
        <v>0</v>
      </c>
      <c r="G10" s="89"/>
      <c r="H10" s="100"/>
      <c r="I10" s="101"/>
      <c r="J10" s="102" t="s">
        <v>29</v>
      </c>
      <c r="K10" s="102"/>
      <c r="L10" s="103"/>
      <c r="M10" s="104" t="s">
        <v>30</v>
      </c>
      <c r="N10" s="105" t="n">
        <f aca="false">MIN(I23:I82)</f>
        <v>15</v>
      </c>
      <c r="O10" s="105" t="n">
        <f aca="false">MIN(J23:J82)</f>
        <v>2</v>
      </c>
      <c r="P10" s="106"/>
      <c r="Q10" s="10"/>
      <c r="R10" s="10"/>
      <c r="S10" s="10"/>
      <c r="T10" s="10"/>
      <c r="U10" s="10"/>
      <c r="V10" s="10"/>
    </row>
    <row r="11" customFormat="false" ht="12.75" hidden="false" customHeight="false" outlineLevel="0" collapsed="false">
      <c r="A11" s="107" t="s">
        <v>31</v>
      </c>
      <c r="B11" s="108"/>
      <c r="C11" s="109"/>
      <c r="D11" s="110"/>
      <c r="E11" s="110"/>
      <c r="F11" s="111" t="n">
        <f aca="false">($B11*$B$7+$C11*$C$7)/100</f>
        <v>0</v>
      </c>
      <c r="G11" s="112"/>
      <c r="H11" s="68"/>
      <c r="I11" s="113" t="s">
        <v>32</v>
      </c>
      <c r="J11" s="113"/>
      <c r="K11" s="114" t="n">
        <f aca="false">COUNTIF($G$23:$G$82,"=HET")</f>
        <v>0</v>
      </c>
      <c r="L11" s="115"/>
      <c r="M11" s="104" t="s">
        <v>33</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34</v>
      </c>
      <c r="B12" s="117" t="n">
        <v>0.8</v>
      </c>
      <c r="C12" s="118" t="n">
        <v>0.1</v>
      </c>
      <c r="D12" s="110"/>
      <c r="E12" s="110"/>
      <c r="F12" s="111" t="n">
        <f aca="false">($B12*$B$7+$C12*$C$7)/100</f>
        <v>0.695</v>
      </c>
      <c r="G12" s="119"/>
      <c r="H12" s="68"/>
      <c r="I12" s="120" t="s">
        <v>35</v>
      </c>
      <c r="J12" s="120"/>
      <c r="K12" s="114" t="n">
        <f aca="false">COUNTIF($G$23:$G$82,"=ALG")</f>
        <v>1</v>
      </c>
      <c r="L12" s="121"/>
      <c r="M12" s="122"/>
      <c r="N12" s="123" t="s">
        <v>29</v>
      </c>
      <c r="O12" s="124"/>
      <c r="P12" s="125"/>
      <c r="Q12" s="10"/>
      <c r="R12" s="10"/>
      <c r="S12" s="10"/>
      <c r="T12" s="10"/>
      <c r="U12" s="10"/>
      <c r="V12" s="10"/>
    </row>
    <row r="13" customFormat="false" ht="12.75" hidden="false" customHeight="false" outlineLevel="0" collapsed="false">
      <c r="A13" s="116" t="s">
        <v>36</v>
      </c>
      <c r="B13" s="117"/>
      <c r="C13" s="118"/>
      <c r="D13" s="110"/>
      <c r="E13" s="110"/>
      <c r="F13" s="111" t="n">
        <f aca="false">($B13*$B$7+$C13*$C$7)/100</f>
        <v>0</v>
      </c>
      <c r="G13" s="119"/>
      <c r="H13" s="68"/>
      <c r="I13" s="120" t="s">
        <v>37</v>
      </c>
      <c r="J13" s="120"/>
      <c r="K13" s="114" t="n">
        <f aca="false">COUNTIF($G$23:$G$82,"=BRm")+COUNTIF($G$23:$G$82,"=BRh")</f>
        <v>0</v>
      </c>
      <c r="L13" s="115"/>
      <c r="M13" s="126" t="s">
        <v>38</v>
      </c>
      <c r="N13" s="127" t="n">
        <f aca="false">COUNTIF(F23:F82,"&gt;0")</f>
        <v>2</v>
      </c>
      <c r="O13" s="128"/>
      <c r="P13" s="129"/>
      <c r="Q13" s="10"/>
      <c r="R13" s="10"/>
      <c r="S13" s="10"/>
      <c r="T13" s="10"/>
      <c r="U13" s="10"/>
      <c r="V13" s="10"/>
    </row>
    <row r="14" customFormat="false" ht="12.75" hidden="false" customHeight="false" outlineLevel="0" collapsed="false">
      <c r="A14" s="116" t="s">
        <v>39</v>
      </c>
      <c r="B14" s="117"/>
      <c r="C14" s="118"/>
      <c r="D14" s="110"/>
      <c r="E14" s="110"/>
      <c r="F14" s="111" t="n">
        <f aca="false">($B14*$B$7+$C14*$C$7)/100</f>
        <v>0</v>
      </c>
      <c r="G14" s="119"/>
      <c r="H14" s="68"/>
      <c r="I14" s="120" t="s">
        <v>40</v>
      </c>
      <c r="J14" s="120"/>
      <c r="K14" s="114" t="n">
        <f aca="false">COUNTIF($G$23:$G$82,"=PTE")+COUNTIF($G$23:$G$82,"=LIC")</f>
        <v>0</v>
      </c>
      <c r="L14" s="115"/>
      <c r="M14" s="130" t="s">
        <v>41</v>
      </c>
      <c r="N14" s="131" t="n">
        <f aca="false">COUNTIF($I$23:$I$82,"&gt;-1")</f>
        <v>1</v>
      </c>
      <c r="O14" s="132"/>
      <c r="P14" s="129"/>
      <c r="Q14" s="10"/>
      <c r="R14" s="10"/>
      <c r="S14" s="10"/>
      <c r="T14" s="10"/>
      <c r="U14" s="10"/>
      <c r="V14" s="10"/>
    </row>
    <row r="15" customFormat="false" ht="12.75" hidden="false" customHeight="false" outlineLevel="0" collapsed="false">
      <c r="A15" s="133" t="s">
        <v>42</v>
      </c>
      <c r="B15" s="134"/>
      <c r="C15" s="135"/>
      <c r="D15" s="110"/>
      <c r="E15" s="110"/>
      <c r="F15" s="111" t="n">
        <f aca="false">($B15*$B$7+$C15*$C$7)/100</f>
        <v>0</v>
      </c>
      <c r="G15" s="119"/>
      <c r="H15" s="68"/>
      <c r="I15" s="120" t="s">
        <v>43</v>
      </c>
      <c r="J15" s="120"/>
      <c r="K15" s="114" t="n">
        <f aca="false">(COUNTIF($G$23:$G$82,"=PHy"))+(COUNTIF($G$23:$G$82,"=PHe"))+(COUNTIF($G$23:$G$82,"=PHg"))+(COUNTIF($G$23:$G$82,"=PHx"))</f>
        <v>0</v>
      </c>
      <c r="L15" s="115"/>
      <c r="M15" s="136" t="s">
        <v>44</v>
      </c>
      <c r="N15" s="137" t="n">
        <f aca="false">COUNTIF(J23:J82,"=1")</f>
        <v>0</v>
      </c>
      <c r="O15" s="138"/>
      <c r="P15" s="129"/>
      <c r="Q15" s="10"/>
      <c r="R15" s="10"/>
      <c r="S15" s="10"/>
      <c r="T15" s="10"/>
      <c r="U15" s="10"/>
      <c r="V15" s="10"/>
    </row>
    <row r="16" customFormat="false" ht="12.75" hidden="false" customHeight="false" outlineLevel="0" collapsed="false">
      <c r="A16" s="107" t="s">
        <v>45</v>
      </c>
      <c r="B16" s="108"/>
      <c r="C16" s="109"/>
      <c r="D16" s="139"/>
      <c r="E16" s="139"/>
      <c r="F16" s="140"/>
      <c r="G16" s="140" t="n">
        <f aca="false">($B16*$B$7+$C16*$C$7)/100</f>
        <v>0</v>
      </c>
      <c r="H16" s="68"/>
      <c r="I16" s="120"/>
      <c r="J16" s="141"/>
      <c r="K16" s="141"/>
      <c r="L16" s="115"/>
      <c r="M16" s="136" t="s">
        <v>46</v>
      </c>
      <c r="N16" s="137" t="n">
        <f aca="false">COUNTIF(J23:J82,"=2")</f>
        <v>1</v>
      </c>
      <c r="O16" s="138"/>
      <c r="P16" s="129"/>
      <c r="Q16" s="10"/>
      <c r="R16" s="10"/>
      <c r="S16" s="10"/>
      <c r="T16" s="10"/>
      <c r="U16" s="10"/>
      <c r="V16" s="10"/>
    </row>
    <row r="17" customFormat="false" ht="12.75" hidden="false" customHeight="false" outlineLevel="0" collapsed="false">
      <c r="A17" s="116" t="s">
        <v>47</v>
      </c>
      <c r="B17" s="117" t="n">
        <v>0.8</v>
      </c>
      <c r="C17" s="118" t="n">
        <v>0.1</v>
      </c>
      <c r="D17" s="110"/>
      <c r="E17" s="110"/>
      <c r="F17" s="142"/>
      <c r="G17" s="111" t="n">
        <f aca="false">($B17*$B$7+$C17*$C$7)/100</f>
        <v>0.695</v>
      </c>
      <c r="H17" s="68"/>
      <c r="I17" s="120"/>
      <c r="J17" s="120"/>
      <c r="K17" s="141"/>
      <c r="L17" s="115"/>
      <c r="M17" s="136" t="s">
        <v>48</v>
      </c>
      <c r="N17" s="137" t="n">
        <f aca="false">COUNTIF(J23:J82,"=3")</f>
        <v>0</v>
      </c>
      <c r="O17" s="138"/>
      <c r="P17" s="129"/>
      <c r="Q17" s="10"/>
      <c r="R17" s="10"/>
      <c r="S17" s="10"/>
      <c r="T17" s="10"/>
      <c r="U17" s="10"/>
      <c r="V17" s="10"/>
    </row>
    <row r="18" customFormat="false" ht="12.75" hidden="false" customHeight="false" outlineLevel="0" collapsed="false">
      <c r="A18" s="143" t="s">
        <v>49</v>
      </c>
      <c r="B18" s="144"/>
      <c r="C18" s="145"/>
      <c r="D18" s="110"/>
      <c r="E18" s="146" t="s">
        <v>50</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0.695</v>
      </c>
      <c r="G19" s="155" t="n">
        <f aca="false">SUM(G16:G18)</f>
        <v>0.695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51</v>
      </c>
      <c r="B20" s="164" t="n">
        <f aca="false">SUM(B23:B82)</f>
        <v>0.8</v>
      </c>
      <c r="C20" s="165" t="n">
        <f aca="false">SUM(C23:C82)</f>
        <v>0.11</v>
      </c>
      <c r="D20" s="166"/>
      <c r="E20" s="167" t="s">
        <v>50</v>
      </c>
      <c r="F20" s="168" t="n">
        <f aca="false">($B20*$B$7+$C20*$C$7)/100</f>
        <v>0.6965</v>
      </c>
      <c r="G20" s="169"/>
      <c r="H20" s="170"/>
      <c r="I20" s="171"/>
      <c r="J20" s="171"/>
      <c r="K20" s="172"/>
      <c r="L20" s="47"/>
      <c r="M20" s="173"/>
      <c r="N20" s="173"/>
      <c r="O20" s="174"/>
      <c r="P20" s="175"/>
      <c r="Q20" s="176" t="s">
        <v>52</v>
      </c>
      <c r="R20" s="10"/>
      <c r="S20" s="10"/>
      <c r="T20" s="10"/>
      <c r="U20" s="10"/>
      <c r="V20" s="10"/>
      <c r="W20" s="149"/>
    </row>
    <row r="21" customFormat="false" ht="12.75" hidden="false" customHeight="false" outlineLevel="0" collapsed="false">
      <c r="A21" s="177" t="s">
        <v>53</v>
      </c>
      <c r="B21" s="178" t="n">
        <f aca="false">B20*B7/100</f>
        <v>0.68</v>
      </c>
      <c r="C21" s="178" t="n">
        <f aca="false">C20*C7/100</f>
        <v>0.0165</v>
      </c>
      <c r="D21" s="110" t="str">
        <f aca="false">IF(F21=0,"",IF((ABS(F21-F19))&gt;(0.2*F21),CONCATENATE(" rec. par taxa (",F21," %) supérieur à 20 % !"),""))</f>
        <v/>
      </c>
      <c r="E21" s="179" t="str">
        <f aca="false">IF(F21=0,"",IF((ABS(F21-F19))&gt;(0.2*F21),CONCATENATE("ATTENTION : écart entre rec. par grp (",F19," %) ","et",""),""))</f>
        <v/>
      </c>
      <c r="F21" s="180" t="n">
        <f aca="false">B21+C21</f>
        <v>0.6965</v>
      </c>
      <c r="G21" s="181"/>
      <c r="H21" s="110"/>
      <c r="I21" s="182"/>
      <c r="J21" s="182"/>
      <c r="K21" s="183"/>
      <c r="L21" s="183"/>
      <c r="M21" s="184"/>
      <c r="N21" s="184"/>
      <c r="O21" s="185"/>
      <c r="P21" s="186"/>
      <c r="Q21" s="187" t="s">
        <v>54</v>
      </c>
      <c r="R21" s="10"/>
      <c r="S21" s="10"/>
      <c r="T21" s="10"/>
      <c r="U21" s="10"/>
      <c r="V21" s="10"/>
      <c r="W21" s="149"/>
    </row>
    <row r="22" customFormat="false" ht="12.75" hidden="false" customHeight="false" outlineLevel="0" collapsed="false">
      <c r="A22" s="188" t="s">
        <v>55</v>
      </c>
      <c r="B22" s="189" t="s">
        <v>56</v>
      </c>
      <c r="C22" s="190" t="s">
        <v>56</v>
      </c>
      <c r="D22" s="139"/>
      <c r="E22" s="139"/>
      <c r="F22" s="191" t="s">
        <v>57</v>
      </c>
      <c r="G22" s="192" t="s">
        <v>58</v>
      </c>
      <c r="H22" s="139"/>
      <c r="I22" s="193" t="s">
        <v>59</v>
      </c>
      <c r="J22" s="193" t="s">
        <v>60</v>
      </c>
      <c r="K22" s="194" t="s">
        <v>61</v>
      </c>
      <c r="L22" s="194"/>
      <c r="M22" s="194"/>
      <c r="N22" s="194"/>
      <c r="O22" s="194"/>
      <c r="P22" s="195" t="s">
        <v>62</v>
      </c>
      <c r="Q22" s="196" t="s">
        <v>63</v>
      </c>
      <c r="R22" s="197" t="s">
        <v>64</v>
      </c>
      <c r="S22" s="198" t="s">
        <v>65</v>
      </c>
      <c r="T22" s="199" t="s">
        <v>66</v>
      </c>
      <c r="U22" s="200" t="s">
        <v>67</v>
      </c>
      <c r="V22" s="198" t="s">
        <v>68</v>
      </c>
      <c r="Y22" s="10" t="s">
        <v>69</v>
      </c>
      <c r="Z22" s="10" t="s">
        <v>70</v>
      </c>
      <c r="AA22" s="201" t="s">
        <v>71</v>
      </c>
      <c r="AB22" s="201" t="s">
        <v>72</v>
      </c>
      <c r="AC22" s="202" t="s">
        <v>73</v>
      </c>
    </row>
    <row r="23" customFormat="false" ht="12.75" hidden="false" customHeight="false" outlineLevel="0" collapsed="false">
      <c r="A23" s="203" t="s">
        <v>74</v>
      </c>
      <c r="B23" s="204" t="n">
        <v>0.8</v>
      </c>
      <c r="C23" s="205" t="n">
        <v>0.1</v>
      </c>
      <c r="D23" s="206" t="str">
        <f aca="false">IF(ISERROR(VLOOKUP($A23,'[1]liste reference'!$A$7:$D$892,2,0)),IF(ISERROR(VLOOKUP($A23,'[1]liste reference'!$B$7:$D$892,1,0)),"",VLOOKUP($A23,'[1]liste reference'!$B$7:$D$892,1,0)),VLOOKUP($A23,'[1]liste reference'!$A$7:$D$892,2,0))</f>
        <v>Lemanea sp.</v>
      </c>
      <c r="E23" s="206" t="e">
        <f aca="false">IF(D23="",0,VLOOKUP(D23,D$22:D22,1,0))</f>
        <v>#N/A</v>
      </c>
      <c r="F23" s="207" t="n">
        <f aca="false">($B23*$B$7+$C23*$C$7)/100</f>
        <v>0.695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15</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Lemanea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1159</v>
      </c>
      <c r="Q23" s="215" t="n">
        <f aca="false">IF(ISTEXT(H23),"",(B23*$B$7/100)+(C23*$C$7/100))</f>
        <v>0.695</v>
      </c>
      <c r="R23" s="216" t="n">
        <f aca="false">IF(OR(ISTEXT(H23),Q23=0),"",IF(Q23&lt;0.1,1,IF(Q23&lt;1,2,IF(Q23&lt;10,3,IF(Q23&lt;50,4,IF(Q23&gt;=50,5,""))))))</f>
        <v>2</v>
      </c>
      <c r="S23" s="216" t="n">
        <f aca="false">IF(ISERROR(R23*I23),0,R23*I23)</f>
        <v>30</v>
      </c>
      <c r="T23" s="216" t="n">
        <f aca="false">IF(ISERROR(R23*I23*J23),0,R23*I23*J23)</f>
        <v>60</v>
      </c>
      <c r="U23" s="216" t="n">
        <f aca="false">IF(ISERROR(R23*J23),0,R23*J23)</f>
        <v>4</v>
      </c>
      <c r="V23" s="217" t="n">
        <v>4</v>
      </c>
      <c r="W23" s="218"/>
      <c r="X23" s="218"/>
      <c r="Y23" s="219" t="str">
        <f aca="false">IF(A23="new.cod","NEWCOD",IF(AND((Z23=""),ISTEXT(A23)),A23,IF(Z23="","",INDEX('[1]liste reference'!$A$7:$A$892,Z23))))</f>
        <v>LEASPX</v>
      </c>
      <c r="Z23" s="10" t="n">
        <f aca="false">IF(ISERROR(MATCH(A23,'[1]liste reference'!$A$7:$A$892,0)),IF(ISERROR(MATCH(A23,'[1]liste reference'!$B$7:$B$892,0)),"",(MATCH(A23,'[1]liste reference'!$B$7:$B$892,0))),(MATCH(A23,'[1]liste reference'!$A$7:$A$892,0)))</f>
        <v>407</v>
      </c>
      <c r="AA23" s="220"/>
      <c r="AB23" s="221"/>
      <c r="AC23" s="221"/>
      <c r="BC23" s="10" t="n">
        <f aca="false">IF(A23="","",1)</f>
        <v>1</v>
      </c>
    </row>
    <row r="24" customFormat="false" ht="12.75" hidden="false" customHeight="false" outlineLevel="0" collapsed="false">
      <c r="A24" s="222" t="s">
        <v>75</v>
      </c>
      <c r="B24" s="223"/>
      <c r="C24" s="224" t="n">
        <v>0.01</v>
      </c>
      <c r="D24" s="225" t="str">
        <f aca="false">IF(ISERROR(VLOOKUP($A24,'[1]liste reference'!$A$7:$D$892,2,0)),IF(ISERROR(VLOOKUP($A24,'[1]liste reference'!$B$7:$D$892,1,0)),"",VLOOKUP($A24,'[1]liste reference'!$B$7:$D$892,1,0)),VLOOKUP($A24,'[1]liste reference'!$A$7:$D$892,2,0))</f>
        <v/>
      </c>
      <c r="E24" s="225" t="n">
        <f aca="false">IF(D24="",0,VLOOKUP(D24,D$22:D23,1,0))</f>
        <v>0</v>
      </c>
      <c r="F24" s="226" t="n">
        <f aca="false">($B24*$B$7+$C24*$C$7)/100</f>
        <v>0.0015</v>
      </c>
      <c r="G24" s="227" t="str">
        <f aca="false">IF(A24="","",IF(ISERROR(VLOOKUP($A24,'[1]liste reference'!$A$7:$P$892,13,0)),IF(ISERROR(VLOOKUP($A24,'[1]liste reference'!$B$7:$P$892,12,0)),"    -",VLOOKUP($A24,'[1]liste reference'!$B$7:$P$892,12,0)),VLOOKUP($A24,'[1]liste reference'!$A$7:$P$892,13,0)))</f>
        <v>    -</v>
      </c>
      <c r="H24" s="209" t="str">
        <f aca="false">IF(A24="","x",IF(ISERROR(VLOOKUP($A24,'[1]liste reference'!$A$7:$P$892,14,0)),IF(ISERROR(VLOOKUP($A24,'[1]liste reference'!$B$7:$P$892,13,0)),"x",VLOOKUP($A24,'[1]liste reference'!$B$7:$P$892,13,0)),VLOOKUP($A24,'[1]liste reference'!$A$7:$P$892,14,0)))</f>
        <v>x</v>
      </c>
      <c r="I24" s="228" t="str">
        <f aca="false">IF(ISNUMBER(H24),IF(ISERROR(VLOOKUP($A24,'[1]liste reference'!$A$7:$P$892,3,0)),IF(ISERROR(VLOOKUP($A24,'[1]liste reference'!$B$7:$P$892,2,0)),"",VLOOKUP($A24,'[1]liste reference'!$B$7:$P$892,2,0)),VLOOKUP($A24,'[1]liste reference'!$A$7:$P$892,3,0)),"")</f>
        <v/>
      </c>
      <c r="J24" s="211" t="str">
        <f aca="false">IF(ISNUMBER(H24),IF(ISERROR(VLOOKUP($A24,'[1]liste reference'!$A$7:$P$892,4,0)),IF(ISERROR(VLOOKUP($A24,'[1]liste reference'!$B$7:$P$892,3,0)),"",VLOOKUP($A24,'[1]liste reference'!$B$7:$P$892,3,0)),VLOOKUP($A24,'[1]liste reference'!$A$7:$P$892,4,0)),"")</f>
        <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Corylus avellana</v>
      </c>
      <c r="L24" s="229"/>
      <c r="M24" s="229"/>
      <c r="N24" s="229"/>
      <c r="O24" s="214" t="str">
        <f aca="false">IF(AA24="Cf.","Cf.","")</f>
        <v/>
      </c>
      <c r="P24" s="214" t="str">
        <f aca="false">IF($A24="NEWCOD",IF($AC24="","No",$AC24),IF(ISTEXT($E24),"DEJA SAISI !",IF($A24="","",IF(ISERROR(VLOOKUP($A24,'[1]liste reference'!A$1:S$1048576,19,FALSE())),IF(ISERROR(VLOOKUP($A24,'[1]liste reference'!B$1:S$1048576,19,FALSE())),"",VLOOKUP($A24,'[1]liste reference'!B$1:S$1048576,19,FALSE())),VLOOKUP($A24,'[1]liste reference'!A$1:S$1048576,19,FALSE())))))</f>
        <v>No</v>
      </c>
      <c r="Q24" s="215" t="str">
        <f aca="false">IF(ISTEXT(H24),"",(B24*$B$7/100)+(C24*$C$7/100))</f>
        <v/>
      </c>
      <c r="R24" s="216" t="str">
        <f aca="false">IF(OR(ISTEXT(H24),Q24=0),"",IF(Q24&lt;0.1,1,IF(Q24&lt;1,2,IF(Q24&lt;10,3,IF(Q24&lt;50,4,IF(Q24&gt;=50,5,""))))))</f>
        <v/>
      </c>
      <c r="S24" s="216" t="n">
        <f aca="false">IF(ISERROR(R24*I24),0,R24*I24)</f>
        <v>0</v>
      </c>
      <c r="T24" s="216" t="n">
        <f aca="false">IF(ISERROR(R24*I24*J24),0,R24*I24*J24)</f>
        <v>0</v>
      </c>
      <c r="U24" s="230" t="n">
        <f aca="false">IF(ISERROR(R24*J24),0,R24*J24)</f>
        <v>0</v>
      </c>
      <c r="V24" s="217" t="n">
        <v>0</v>
      </c>
      <c r="W24" s="231"/>
      <c r="Y24" s="219" t="str">
        <f aca="false">IF(A24="new.cod","NEWCOD",IF(AND((Z24=""),ISTEXT(A24)),A24,IF(Z24="","",INDEX('[1]liste reference'!$A$7:$A$892,Z24))))</f>
        <v>NEWCOD</v>
      </c>
      <c r="Z24" s="10" t="str">
        <f aca="false">IF(ISERROR(MATCH(A24,'[1]liste reference'!$A$7:$A$892,0)),IF(ISERROR(MATCH(A24,'[1]liste reference'!$B$7:$B$892,0)),"",(MATCH(A24,'[1]liste reference'!$B$7:$B$892,0))),(MATCH(A24,'[1]liste reference'!$A$7:$A$892,0)))</f>
        <v/>
      </c>
      <c r="AA24" s="220"/>
      <c r="AB24" s="221" t="s">
        <v>76</v>
      </c>
      <c r="AC24" s="221"/>
      <c r="BC24" s="10" t="n">
        <f aca="false">IF(A24="","",1)</f>
        <v>1</v>
      </c>
    </row>
    <row r="25" customFormat="false" ht="12.75" hidden="false" customHeight="false" outlineLevel="0" collapsed="false">
      <c r="A25" s="222"/>
      <c r="B25" s="223"/>
      <c r="C25" s="224"/>
      <c r="D25" s="225" t="str">
        <f aca="false">IF(ISERROR(VLOOKUP($A25,'[1]liste reference'!$A$7:$D$892,2,0)),IF(ISERROR(VLOOKUP($A25,'[1]liste reference'!$B$7:$D$892,1,0)),"",VLOOKUP($A25,'[1]liste reference'!$B$7:$D$892,1,0)),VLOOKUP($A25,'[1]liste reference'!$A$7:$D$892,2,0))</f>
        <v/>
      </c>
      <c r="E25" s="225" t="n">
        <f aca="false">IF(D25="",0,VLOOKUP(D25,D$22:D24,1,0))</f>
        <v>0</v>
      </c>
      <c r="F25" s="226" t="n">
        <f aca="false">($B25*$B$7+$C25*$C$7)/100</f>
        <v>0</v>
      </c>
      <c r="G25" s="227" t="str">
        <f aca="false">IF(A25="","",IF(ISERROR(VLOOKUP($A25,'[1]liste reference'!$A$7:$P$892,13,0)),IF(ISERROR(VLOOKUP($A25,'[1]liste reference'!$B$7:$P$892,12,0)),"    -",VLOOKUP($A25,'[1]liste reference'!$B$7:$P$892,12,0)),VLOOKUP($A25,'[1]liste reference'!$A$7:$P$892,13,0)))</f>
        <v/>
      </c>
      <c r="H25" s="209" t="str">
        <f aca="false">IF(A25="","x",IF(ISERROR(VLOOKUP($A25,'[1]liste reference'!$A$7:$P$892,14,0)),IF(ISERROR(VLOOKUP($A25,'[1]liste reference'!$B$7:$P$892,13,0)),"x",VLOOKUP($A25,'[1]liste reference'!$B$7:$P$892,13,0)),VLOOKUP($A25,'[1]liste reference'!$A$7:$P$892,14,0)))</f>
        <v>x</v>
      </c>
      <c r="I25" s="228" t="str">
        <f aca="false">IF(ISNUMBER(H25),IF(ISERROR(VLOOKUP($A25,'[1]liste reference'!$A$7:$P$892,3,0)),IF(ISERROR(VLOOKUP($A25,'[1]liste reference'!$B$7:$P$892,2,0)),"",VLOOKUP($A25,'[1]liste reference'!$B$7:$P$892,2,0)),VLOOKUP($A25,'[1]liste reference'!$A$7:$P$892,3,0)),"")</f>
        <v/>
      </c>
      <c r="J25" s="211" t="str">
        <f aca="false">IF(ISNUMBER(H25),IF(ISERROR(VLOOKUP($A25,'[1]liste reference'!$A$7:$P$892,4,0)),IF(ISERROR(VLOOKUP($A25,'[1]liste reference'!$B$7:$P$892,3,0)),"",VLOOKUP($A25,'[1]liste reference'!$B$7:$P$892,3,0)),VLOOKUP($A25,'[1]liste reference'!$A$7:$P$892,4,0)),"")</f>
        <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
      </c>
      <c r="L25" s="229"/>
      <c r="M25" s="229"/>
      <c r="N25" s="229"/>
      <c r="O25" s="214" t="str">
        <f aca="false">IF(AA25="Cf.","Cf.","")</f>
        <v/>
      </c>
      <c r="P25" s="214" t="str">
        <f aca="false">IF($A25="NEWCOD",IF($AC25="","No",$AC25),IF(ISTEXT($E25),"DEJA SAISI !",IF($A25="","",IF(ISERROR(VLOOKUP($A25,'[1]liste reference'!A$1:S$1048576,19,FALSE())),IF(ISERROR(VLOOKUP($A25,'[1]liste reference'!B$1:S$1048576,19,FALSE())),"",VLOOKUP($A25,'[1]liste reference'!B$1:S$1048576,19,FALSE())),VLOOKUP($A25,'[1]liste reference'!A$1:S$1048576,19,FALSE())))))</f>
        <v/>
      </c>
      <c r="Q25" s="215" t="str">
        <f aca="false">IF(ISTEXT(H25),"",(B25*$B$7/100)+(C25*$C$7/100))</f>
        <v/>
      </c>
      <c r="R25" s="216" t="str">
        <f aca="false">IF(OR(ISTEXT(H25),Q25=0),"",IF(Q25&lt;0.1,1,IF(Q25&lt;1,2,IF(Q25&lt;10,3,IF(Q25&lt;50,4,IF(Q25&gt;=50,5,""))))))</f>
        <v/>
      </c>
      <c r="S25" s="216" t="n">
        <f aca="false">IF(ISERROR(R25*I25),0,R25*I25)</f>
        <v>0</v>
      </c>
      <c r="T25" s="216" t="n">
        <f aca="false">IF(ISERROR(R25*I25*J25),0,R25*I25*J25)</f>
        <v>0</v>
      </c>
      <c r="U25" s="230" t="n">
        <f aca="false">IF(ISERROR(R25*J25),0,R25*J25)</f>
        <v>0</v>
      </c>
      <c r="V25" s="217" t="n">
        <v>0</v>
      </c>
      <c r="W25" s="218"/>
      <c r="Y25" s="219" t="str">
        <f aca="false">IF(A25="new.cod","NEWCOD",IF(AND((Z25=""),ISTEXT(A25)),A25,IF(Z25="","",INDEX('[1]liste reference'!$A$7:$A$892,Z25))))</f>
        <v/>
      </c>
      <c r="Z25" s="10" t="str">
        <f aca="false">IF(ISERROR(MATCH(A25,'[1]liste reference'!$A$7:$A$892,0)),IF(ISERROR(MATCH(A25,'[1]liste reference'!$B$7:$B$892,0)),"",(MATCH(A25,'[1]liste reference'!$B$7:$B$892,0))),(MATCH(A25,'[1]liste reference'!$A$7:$A$892,0)))</f>
        <v/>
      </c>
      <c r="AA25" s="220"/>
      <c r="AB25" s="221"/>
      <c r="AC25" s="221"/>
      <c r="BC25" s="10" t="str">
        <f aca="false">IF(A25="","",1)</f>
        <v/>
      </c>
    </row>
    <row r="26" customFormat="false" ht="12.75" hidden="false" customHeight="false" outlineLevel="0" collapsed="false">
      <c r="A26" s="222"/>
      <c r="B26" s="223"/>
      <c r="C26" s="224"/>
      <c r="D26" s="225" t="str">
        <f aca="false">IF(ISERROR(VLOOKUP($A26,'[1]liste reference'!$A$7:$D$892,2,0)),IF(ISERROR(VLOOKUP($A26,'[1]liste reference'!$B$7:$D$892,1,0)),"",VLOOKUP($A26,'[1]liste reference'!$B$7:$D$892,1,0)),VLOOKUP($A26,'[1]liste reference'!$A$7:$D$892,2,0))</f>
        <v/>
      </c>
      <c r="E26" s="225" t="n">
        <f aca="false">IF(D26="",0,VLOOKUP(D26,D$22:D25,1,0))</f>
        <v>0</v>
      </c>
      <c r="F26" s="226" t="n">
        <f aca="false">($B26*$B$7+$C26*$C$7)/100</f>
        <v>0</v>
      </c>
      <c r="G26" s="227" t="str">
        <f aca="false">IF(A26="","",IF(ISERROR(VLOOKUP($A26,'[1]liste reference'!$A$7:$P$892,13,0)),IF(ISERROR(VLOOKUP($A26,'[1]liste reference'!$B$7:$P$892,12,0)),"    -",VLOOKUP($A26,'[1]liste reference'!$B$7:$P$892,12,0)),VLOOKUP($A26,'[1]liste reference'!$A$7:$P$892,13,0)))</f>
        <v/>
      </c>
      <c r="H26" s="209" t="str">
        <f aca="false">IF(A26="","x",IF(ISERROR(VLOOKUP($A26,'[1]liste reference'!$A$7:$P$892,14,0)),IF(ISERROR(VLOOKUP($A26,'[1]liste reference'!$B$7:$P$892,13,0)),"x",VLOOKUP($A26,'[1]liste reference'!$B$7:$P$892,13,0)),VLOOKUP($A26,'[1]liste reference'!$A$7:$P$892,14,0)))</f>
        <v>x</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
      </c>
      <c r="L26" s="229"/>
      <c r="M26" s="229"/>
      <c r="N26" s="229"/>
      <c r="O26" s="214" t="str">
        <f aca="false">IF(AA26="Cf.","Cf.","")</f>
        <v/>
      </c>
      <c r="P26" s="214" t="str">
        <f aca="false">IF($A26="NEWCOD",IF($AC26="","No",$AC26),IF(ISTEXT($E26),"DEJA SAISI !",IF($A26="","",IF(ISERROR(VLOOKUP($A26,'[1]liste reference'!A$1:S$1048576,19,FALSE())),IF(ISERROR(VLOOKUP($A26,'[1]liste reference'!B$1:S$1048576,19,FALSE())),"",VLOOKUP($A26,'[1]liste reference'!B$1:S$1048576,19,FALSE())),VLOOKUP($A26,'[1]liste reference'!A$1:S$1048576,19,FALSE())))))</f>
        <v/>
      </c>
      <c r="Q26" s="215" t="str">
        <f aca="false">IF(ISTEXT(H26),"",(B26*$B$7/100)+(C26*$C$7/100))</f>
        <v/>
      </c>
      <c r="R26" s="216" t="str">
        <f aca="false">IF(OR(ISTEXT(H26),Q26=0),"",IF(Q26&lt;0.1,1,IF(Q26&lt;1,2,IF(Q26&lt;10,3,IF(Q26&lt;50,4,IF(Q26&gt;=50,5,""))))))</f>
        <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
      </c>
      <c r="Z26" s="10" t="str">
        <f aca="false">IF(ISERROR(MATCH(A26,'[1]liste reference'!$A$7:$A$892,0)),IF(ISERROR(MATCH(A26,'[1]liste reference'!$B$7:$B$892,0)),"",(MATCH(A26,'[1]liste reference'!$B$7:$B$892,0))),(MATCH(A26,'[1]liste reference'!$A$7:$A$892,0)))</f>
        <v/>
      </c>
      <c r="AA26" s="220"/>
      <c r="AB26" s="221"/>
      <c r="AC26" s="221"/>
      <c r="BC26" s="10" t="str">
        <f aca="false">IF(A26="","",1)</f>
        <v/>
      </c>
    </row>
    <row r="27" customFormat="false" ht="12.75" hidden="false" customHeight="false" outlineLevel="0" collapsed="false">
      <c r="A27" s="222"/>
      <c r="B27" s="223"/>
      <c r="C27" s="224"/>
      <c r="D27" s="225" t="str">
        <f aca="false">IF(ISERROR(VLOOKUP($A27,'[1]liste reference'!$A$7:$D$892,2,0)),IF(ISERROR(VLOOKUP($A27,'[1]liste reference'!$B$7:$D$892,1,0)),"",VLOOKUP($A27,'[1]liste reference'!$B$7:$D$892,1,0)),VLOOKUP($A27,'[1]liste reference'!$A$7:$D$892,2,0))</f>
        <v/>
      </c>
      <c r="E27" s="225" t="n">
        <f aca="false">IF(D27="",0,VLOOKUP(D27,D$22:D26,1,0))</f>
        <v>0</v>
      </c>
      <c r="F27" s="226" t="n">
        <f aca="false">($B27*$B$7+$C27*$C$7)/100</f>
        <v>0</v>
      </c>
      <c r="G27" s="227" t="str">
        <f aca="false">IF(A27="","",IF(ISERROR(VLOOKUP($A27,'[1]liste reference'!$A$7:$P$892,13,0)),IF(ISERROR(VLOOKUP($A27,'[1]liste reference'!$B$7:$P$892,12,0)),"    -",VLOOKUP($A27,'[1]liste reference'!$B$7:$P$892,12,0)),VLOOKUP($A27,'[1]liste reference'!$A$7:$P$892,13,0)))</f>
        <v/>
      </c>
      <c r="H27" s="209" t="str">
        <f aca="false">IF(A27="","x",IF(ISERROR(VLOOKUP($A27,'[1]liste reference'!$A$7:$P$892,14,0)),IF(ISERROR(VLOOKUP($A27,'[1]liste reference'!$B$7:$P$892,13,0)),"x",VLOOKUP($A27,'[1]liste reference'!$B$7:$P$892,13,0)),VLOOKUP($A27,'[1]liste reference'!$A$7:$P$892,14,0)))</f>
        <v>x</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
      </c>
      <c r="L27" s="229"/>
      <c r="M27" s="229"/>
      <c r="N27" s="229"/>
      <c r="O27" s="214" t="str">
        <f aca="false">IF(AA27="Cf.","Cf.","")</f>
        <v/>
      </c>
      <c r="P27" s="214" t="str">
        <f aca="false">IF($A27="NEWCOD",IF($AC27="","No",$AC27),IF(ISTEXT($E27),"DEJA SAISI !",IF($A27="","",IF(ISERROR(VLOOKUP($A27,'[1]liste reference'!A$1:S$1048576,19,FALSE())),IF(ISERROR(VLOOKUP($A27,'[1]liste reference'!B$1:S$1048576,19,FALSE())),"",VLOOKUP($A27,'[1]liste reference'!B$1:S$1048576,19,FALSE())),VLOOKUP($A27,'[1]liste reference'!A$1:S$1048576,19,FALSE())))))</f>
        <v/>
      </c>
      <c r="Q27" s="215" t="str">
        <f aca="false">IF(ISTEXT(H27),"",(B27*$B$7/100)+(C27*$C$7/100))</f>
        <v/>
      </c>
      <c r="R27" s="216" t="str">
        <f aca="false">IF(OR(ISTEXT(H27),Q27=0),"",IF(Q27&lt;0.1,1,IF(Q27&lt;1,2,IF(Q27&lt;10,3,IF(Q27&lt;50,4,IF(Q27&gt;=50,5,""))))))</f>
        <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
      </c>
      <c r="Z27" s="10" t="str">
        <f aca="false">IF(ISERROR(MATCH(A27,'[1]liste reference'!$A$7:$A$892,0)),IF(ISERROR(MATCH(A27,'[1]liste reference'!$B$7:$B$892,0)),"",(MATCH(A27,'[1]liste reference'!$B$7:$B$892,0))),(MATCH(A27,'[1]liste reference'!$A$7:$A$892,0)))</f>
        <v/>
      </c>
      <c r="AA27" s="220"/>
      <c r="AB27" s="221"/>
      <c r="AC27" s="221"/>
      <c r="BC27" s="10" t="str">
        <f aca="false">IF(A27="","",1)</f>
        <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77</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ARDIERE</v>
      </c>
      <c r="B84" s="253" t="str">
        <f aca="false">C3</f>
        <v>ARDIERE A SAINT JEAN D ARDIERES</v>
      </c>
      <c r="C84" s="254" t="n">
        <f aca="false">A4</f>
        <v>41087</v>
      </c>
      <c r="D84" s="255" t="n">
        <f aca="false">IF(ISERROR(SUM($T$23:$T$82)/SUM($U$23:$U$82)),"",SUM($T$23:$T$82)/SUM($U$23:$U$82))</f>
        <v>15</v>
      </c>
      <c r="E84" s="256" t="n">
        <f aca="false">N13</f>
        <v>2</v>
      </c>
      <c r="F84" s="253" t="n">
        <f aca="false">N14</f>
        <v>1</v>
      </c>
      <c r="G84" s="253" t="n">
        <f aca="false">N15</f>
        <v>0</v>
      </c>
      <c r="H84" s="253" t="n">
        <f aca="false">N16</f>
        <v>1</v>
      </c>
      <c r="I84" s="253" t="n">
        <f aca="false">N17</f>
        <v>0</v>
      </c>
      <c r="J84" s="257" t="n">
        <f aca="false">N8</f>
        <v>15</v>
      </c>
      <c r="K84" s="255" t="e">
        <f aca="false">N9</f>
        <v>#DIV/0!</v>
      </c>
      <c r="L84" s="256" t="n">
        <f aca="false">N10</f>
        <v>15</v>
      </c>
      <c r="M84" s="256" t="n">
        <f aca="false">N11</f>
        <v>15</v>
      </c>
      <c r="N84" s="255" t="n">
        <f aca="false">O8</f>
        <v>2</v>
      </c>
      <c r="O84" s="255" t="e">
        <f aca="false">O9</f>
        <v>#DIV/0!</v>
      </c>
      <c r="P84" s="256" t="n">
        <f aca="false">O10</f>
        <v>2</v>
      </c>
      <c r="Q84" s="256" t="n">
        <f aca="false">O11</f>
        <v>2</v>
      </c>
      <c r="R84" s="256" t="n">
        <f aca="false">F21</f>
        <v>0.6965</v>
      </c>
      <c r="S84" s="256" t="n">
        <f aca="false">K11</f>
        <v>0</v>
      </c>
      <c r="T84" s="256" t="n">
        <f aca="false">K12</f>
        <v>1</v>
      </c>
      <c r="U84" s="256" t="n">
        <f aca="false">K13</f>
        <v>0</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78</v>
      </c>
      <c r="R86" s="10"/>
      <c r="S86" s="217"/>
      <c r="T86" s="10"/>
      <c r="U86" s="10"/>
      <c r="V86" s="10"/>
    </row>
    <row r="87" customFormat="false" ht="12.75" hidden="true" customHeight="false" outlineLevel="0" collapsed="false">
      <c r="P87" s="10"/>
      <c r="Q87" s="10" t="s">
        <v>79</v>
      </c>
      <c r="R87" s="10"/>
      <c r="S87" s="217" t="n">
        <f aca="false">VLOOKUP(MAX($S$23:$S$82),($S$23:$U$82),1,0)</f>
        <v>30</v>
      </c>
      <c r="T87" s="10"/>
      <c r="U87" s="10"/>
      <c r="V87" s="10"/>
    </row>
    <row r="88" customFormat="false" ht="12.75" hidden="true" customHeight="false" outlineLevel="0" collapsed="false">
      <c r="P88" s="10"/>
      <c r="Q88" s="10" t="s">
        <v>80</v>
      </c>
      <c r="R88" s="10"/>
      <c r="S88" s="217" t="n">
        <f aca="false">VLOOKUP((S87),($S$23:$U$82),2,0)</f>
        <v>60</v>
      </c>
      <c r="T88" s="10"/>
      <c r="U88" s="10"/>
      <c r="V88" s="10"/>
    </row>
    <row r="89" customFormat="false" ht="12.75" hidden="false" customHeight="false" outlineLevel="0" collapsed="false">
      <c r="Q89" s="10" t="s">
        <v>81</v>
      </c>
      <c r="R89" s="10"/>
      <c r="S89" s="217" t="n">
        <f aca="false">VLOOKUP((S87),($S$23:$U$82),3,0)</f>
        <v>4</v>
      </c>
      <c r="T89" s="10"/>
    </row>
    <row r="90" customFormat="false" ht="12.75" hidden="false" customHeight="false" outlineLevel="0" collapsed="false">
      <c r="Q90" s="10" t="s">
        <v>82</v>
      </c>
      <c r="R90" s="10"/>
      <c r="S90" s="262" t="e">
        <f aca="false">IF(ISERROR(SUM($T$23:$T$82)/SUM($U$23:$U$82)),"",(SUM($T$23:$T$82)-S88)/(SUM($U$23:$U$82)-S89))</f>
        <v>#DIV/0!</v>
      </c>
      <c r="T90" s="10"/>
    </row>
    <row r="91" customFormat="false" ht="12.75" hidden="false" customHeight="false" outlineLevel="0" collapsed="false">
      <c r="Q91" s="216" t="s">
        <v>83</v>
      </c>
      <c r="R91" s="216"/>
      <c r="S91" s="216" t="str">
        <f aca="false">INDEX('[1]liste reference'!$A$7:$A$892,$T$91)</f>
        <v>LEASPX</v>
      </c>
      <c r="T91" s="10" t="n">
        <f aca="false">IF(ISERROR(MATCH($S$93,'[1]liste reference'!$A$7:$A$892,0)),MATCH($S$93,'[1]liste reference'!$B$7:$B$892,0),(MATCH($S$93,'[1]liste reference'!$A$7:$A$892,0)))</f>
        <v>407</v>
      </c>
      <c r="U91" s="251"/>
    </row>
    <row r="92" customFormat="false" ht="12.75" hidden="false" customHeight="false" outlineLevel="0" collapsed="false">
      <c r="Q92" s="10" t="s">
        <v>84</v>
      </c>
      <c r="R92" s="10"/>
      <c r="S92" s="10" t="n">
        <f aca="false">MATCH(S87,$S$23:$S$82,0)</f>
        <v>1</v>
      </c>
      <c r="T92" s="10"/>
    </row>
    <row r="93" customFormat="false" ht="12.75" hidden="false" customHeight="false" outlineLevel="0" collapsed="false">
      <c r="Q93" s="216" t="s">
        <v>85</v>
      </c>
      <c r="R93" s="10"/>
      <c r="S93" s="216" t="str">
        <f aca="false">INDEX($A$23:$A$82,$S$92)</f>
        <v>LEASPX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2012-12-14T12:14:14Z</dcterms:created>
  <dc:creator>li</dc:creator>
  <dc:description/>
  <dc:language>fr-FR</dc:language>
  <cp:lastModifiedBy>li</cp:lastModifiedBy>
  <dcterms:modified xsi:type="dcterms:W3CDTF">2012-12-14T12:14:17Z</dcterms:modified>
  <cp:revision>0</cp:revision>
  <dc:subject/>
  <dc:title/>
</cp:coreProperties>
</file>