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<sst xmlns="http://schemas.openxmlformats.org/spreadsheetml/2006/main" count="93" uniqueCount="88">
  <si>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</si>
  <si>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</si>
  <si>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</si>
  <si>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LISEBE PBELLY</t>
  </si>
  <si>
    <t xml:space="preserve">conforme AFNOR T90-395 oct. 2003</t>
  </si>
  <si>
    <t xml:space="preserve">ARDIERE</t>
  </si>
  <si>
    <t xml:space="preserve">ARDIERE A SAINT JEAU D'ARDIERE</t>
  </si>
  <si>
    <t xml:space="preserve">06051550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</si>
  <si>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</si>
  <si>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</si>
  <si>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</si>
  <si>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</si>
  <si>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</si>
  <si>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</si>
  <si>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</si>
  <si>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</si>
  <si>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MELSPX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</si>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</sst>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ARDIE_18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41808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</v>
      </c>
      <c r="M5" s="53"/>
      <c r="N5" s="54" t="s">
        <v>16</v>
      </c>
      <c r="O5" s="55" t="n">
        <v>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20</v>
      </c>
      <c r="C7" s="67" t="n">
        <v>80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</v>
      </c>
      <c r="O8" s="84" t="n">
        <f aca="false">IF(ISERROR(AVERAGE(J23:J82)),"      -",AVERAGE(J23:J82))</f>
        <v>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0.1</v>
      </c>
      <c r="C9" s="87" t="n">
        <v>0.11</v>
      </c>
      <c r="D9" s="88"/>
      <c r="E9" s="88"/>
      <c r="F9" s="89" t="n">
        <f aca="false">($B9*$B$7+$C9*$C$7)/100</f>
        <v>0.108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</v>
      </c>
      <c r="O9" s="84" t="n">
        <f aca="false">IF(ISERROR(STDEVP(J23:J82)),"      -",STDEVP(J23:J82))</f>
        <v>0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6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10</v>
      </c>
      <c r="O11" s="105" t="n">
        <f aca="false">MAX(J23:J82)</f>
        <v>1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0.01</v>
      </c>
      <c r="C12" s="118" t="n">
        <v>0.11</v>
      </c>
      <c r="D12" s="110"/>
      <c r="E12" s="110"/>
      <c r="F12" s="111" t="n">
        <f aca="false">($B12*$B$7+$C12*$C$7)/100</f>
        <v>0.09</v>
      </c>
      <c r="G12" s="119"/>
      <c r="H12" s="68"/>
      <c r="I12" s="120" t="s">
        <v>39</v>
      </c>
      <c r="J12" s="120"/>
      <c r="K12" s="114" t="n">
        <f aca="false">COUNTIF($G$23:$G$82,"=ALG")</f>
        <v>2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/>
      <c r="C13" s="118"/>
      <c r="D13" s="110"/>
      <c r="E13" s="110"/>
      <c r="F13" s="111" t="n">
        <f aca="false">($B13*$B$7+$C13*$C$7)/100</f>
        <v>0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0</v>
      </c>
      <c r="L13" s="115"/>
      <c r="M13" s="126" t="s">
        <v>42</v>
      </c>
      <c r="N13" s="127" t="n">
        <f aca="false">COUNTIF(F23:F82,"&gt;0")</f>
        <v>2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0</v>
      </c>
      <c r="L14" s="115"/>
      <c r="M14" s="130" t="s">
        <v>45</v>
      </c>
      <c r="N14" s="131" t="n">
        <f aca="false">COUNTIF($I$23:$I$82,"&gt;-1")</f>
        <v>2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6" t="s">
        <v>48</v>
      </c>
      <c r="N15" s="137" t="n">
        <f aca="false">COUNTIF(J23:J82,"=1")</f>
        <v>2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0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0.01</v>
      </c>
      <c r="C17" s="118" t="n">
        <v>0.11</v>
      </c>
      <c r="D17" s="110"/>
      <c r="E17" s="110"/>
      <c r="F17" s="142"/>
      <c r="G17" s="111" t="n">
        <f aca="false">($B17*$B$7+$C17*$C$7)/100</f>
        <v>0.09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/>
      <c r="C18" s="145"/>
      <c r="D18" s="110"/>
      <c r="E18" s="146" t="s">
        <v>54</v>
      </c>
      <c r="F18" s="142"/>
      <c r="G18" s="111" t="n">
        <f aca="false">($B18*$B$7+$C18*$C$7)/100</f>
        <v>0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0.09</v>
      </c>
      <c r="G19" s="155" t="n">
        <f aca="false">SUM(G16:G18)</f>
        <v>0.09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0.01</v>
      </c>
      <c r="C20" s="165" t="n">
        <f aca="false">SUM(C23:C82)</f>
        <v>0.11</v>
      </c>
      <c r="D20" s="166"/>
      <c r="E20" s="167" t="s">
        <v>54</v>
      </c>
      <c r="F20" s="168" t="n">
        <f aca="false">($B20*$B$7+$C20*$C$7)/100</f>
        <v>0.09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0.002</v>
      </c>
      <c r="C21" s="178" t="n">
        <f aca="false">C20*C7/100</f>
        <v>0.088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0.09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 t="n">
        <v>0.02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0.018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0.018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16</v>
      </c>
      <c r="B24" s="223" t="n">
        <v>0</v>
      </c>
      <c r="C24" s="224" t="n">
        <v>0.09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Melosira sp.</v>
      </c>
      <c r="E24" s="225" t="e">
        <f aca="false">IF(D24="",0,VLOOKUP(D24,D$22:D23,1,0))</f>
        <v>#N/A</v>
      </c>
      <c r="F24" s="226" t="n">
        <f aca="false">($B24*$B$7+$C24*$C$7)/100</f>
        <v>0.072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10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Melosira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8714</v>
      </c>
      <c r="Q24" s="215" t="n">
        <f aca="false">IF(ISTEXT(H24),"",(B24*$B$7/100)+(C24*$C$7/100))</f>
        <v>0.072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10</v>
      </c>
      <c r="T24" s="216" t="n">
        <f aca="false">IF(ISERROR(R24*I24*J24),0,R24*I24*J24)</f>
        <v>10</v>
      </c>
      <c r="U24" s="228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MELSPX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/>
      <c r="B25" s="223"/>
      <c r="C25" s="224"/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/>
      </c>
      <c r="E25" s="225" t="n">
        <f aca="false">IF(D25="",0,VLOOKUP(D25,D$22:D24,1,0))</f>
        <v>0</v>
      </c>
      <c r="F25" s="226" t="n">
        <f aca="false">($B25*$B$7+$C25*$C$7)/100</f>
        <v>0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/>
      </c>
      <c r="H25" s="209" t="str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x</v>
      </c>
      <c r="I25" s="210" t="str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/>
      </c>
      <c r="J25" s="210" t="str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/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/>
      </c>
      <c r="L25" s="227"/>
      <c r="M25" s="227"/>
      <c r="N25" s="227"/>
      <c r="O25" s="213"/>
      <c r="P25" s="214" t="str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/>
      </c>
      <c r="Q25" s="215" t="str">
        <f aca="false">IF(ISTEXT(H25),"",(B25*$B$7/100)+(C25*$C$7/100))</f>
        <v/>
      </c>
      <c r="R25" s="216" t="str">
        <f aca="false">IF(OR(ISTEXT(H25),Q25=0),"",IF(Q25&lt;0.1,1,IF(Q25&lt;1,2,IF(Q25&lt;10,3,IF(Q25&lt;50,4,IF(Q25&gt;=50,5,""))))))</f>
        <v/>
      </c>
      <c r="S25" s="216" t="n">
        <f aca="false">IF(ISERROR(R25*I25),0,R25*I25)</f>
        <v>0</v>
      </c>
      <c r="T25" s="216" t="n">
        <f aca="false">IF(ISERROR(R25*I25*J25),0,R25*I25*J25)</f>
        <v>0</v>
      </c>
      <c r="U25" s="228" t="n">
        <f aca="false">IF(ISERROR(R25*J25),0,R25*J25)</f>
        <v>0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/>
      </c>
      <c r="Z25" s="10" t="str">
        <f aca="false">IF(ISERROR(MATCH(A25,'[2]liste reference'!$A$8:$A$904,0)),IF(ISERROR(MATCH(A25,'[2]liste reference'!$B$8:$B$904,0)),"",(MATCH(A25,'[2]liste reference'!$B$8:$B$904,0))),(MATCH(A25,'[2]liste reference'!$A$8:$A$904,0)))</f>
        <v/>
      </c>
      <c r="AA25" s="220"/>
      <c r="AB25" s="221"/>
      <c r="AC25" s="221"/>
      <c r="BB25" s="10" t="str">
        <f aca="false">IF(A25="","",1)</f>
        <v/>
      </c>
    </row>
    <row r="26" customFormat="false" ht="12.75" hidden="false" customHeight="false" outlineLevel="0" collapsed="false">
      <c r="A26" s="222"/>
      <c r="B26" s="223"/>
      <c r="C26" s="224"/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/>
      </c>
      <c r="E26" s="225" t="n">
        <f aca="false">IF(D26="",0,VLOOKUP(D26,D$22:D25,1,0))</f>
        <v>0</v>
      </c>
      <c r="F26" s="226" t="n">
        <f aca="false">($B26*$B$7+$C26*$C$7)/100</f>
        <v>0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/>
      </c>
      <c r="H26" s="209" t="str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x</v>
      </c>
      <c r="I26" s="210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0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/>
      </c>
      <c r="L26" s="227"/>
      <c r="M26" s="227"/>
      <c r="N26" s="227"/>
      <c r="O26" s="213"/>
      <c r="P26" s="214" t="str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/>
      </c>
      <c r="Q26" s="215" t="str">
        <f aca="false">IF(ISTEXT(H26),"",(B26*$B$7/100)+(C26*$C$7/100))</f>
        <v/>
      </c>
      <c r="R26" s="216" t="str">
        <f aca="false">IF(OR(ISTEXT(H26),Q26=0),"",IF(Q26&lt;0.1,1,IF(Q26&lt;1,2,IF(Q26&lt;10,3,IF(Q26&lt;50,4,IF(Q26&gt;=50,5,""))))))</f>
        <v/>
      </c>
      <c r="S26" s="216" t="n">
        <f aca="false">IF(ISERROR(R26*I26),0,R26*I26)</f>
        <v>0</v>
      </c>
      <c r="T26" s="216" t="n">
        <f aca="false">IF(ISERROR(R26*I26*J26),0,R26*I26*J26)</f>
        <v>0</v>
      </c>
      <c r="U26" s="228" t="n">
        <f aca="false">IF(ISERROR(R26*J26),0,R26*J26)</f>
        <v>0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/>
      </c>
      <c r="Z26" s="10" t="str">
        <f aca="false">IF(ISERROR(MATCH(A26,'[2]liste reference'!$A$8:$A$904,0)),IF(ISERROR(MATCH(A26,'[2]liste reference'!$B$8:$B$904,0)),"",(MATCH(A26,'[2]liste reference'!$B$8:$B$904,0))),(MATCH(A26,'[2]liste reference'!$A$8:$A$904,0)))</f>
        <v/>
      </c>
      <c r="AA26" s="220"/>
      <c r="AB26" s="221"/>
      <c r="AC26" s="221"/>
      <c r="BB26" s="10" t="str">
        <f aca="false">IF(A26="","",1)</f>
        <v/>
      </c>
    </row>
    <row r="27" customFormat="false" ht="12.75" hidden="false" customHeight="false" outlineLevel="0" collapsed="false">
      <c r="A27" s="222"/>
      <c r="B27" s="223"/>
      <c r="C27" s="224"/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/>
      </c>
      <c r="E27" s="225" t="n">
        <f aca="false">IF(D27="",0,VLOOKUP(D27,D$22:D26,1,0))</f>
        <v>0</v>
      </c>
      <c r="F27" s="226" t="n">
        <f aca="false">($B27*$B$7+$C27*$C$7)/100</f>
        <v>0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/>
      </c>
      <c r="H27" s="209" t="str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x</v>
      </c>
      <c r="I27" s="210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0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/>
      </c>
      <c r="L27" s="227"/>
      <c r="M27" s="227"/>
      <c r="N27" s="227"/>
      <c r="O27" s="213"/>
      <c r="P27" s="214" t="str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/>
      </c>
      <c r="Q27" s="215" t="str">
        <f aca="false">IF(ISTEXT(H27),"",(B27*$B$7/100)+(C27*$C$7/100))</f>
        <v/>
      </c>
      <c r="R27" s="216" t="str">
        <f aca="false">IF(OR(ISTEXT(H27),Q27=0),"",IF(Q27&lt;0.1,1,IF(Q27&lt;1,2,IF(Q27&lt;10,3,IF(Q27&lt;50,4,IF(Q27&gt;=50,5,""))))))</f>
        <v/>
      </c>
      <c r="S27" s="216" t="n">
        <f aca="false">IF(ISERROR(R27*I27),0,R27*I27)</f>
        <v>0</v>
      </c>
      <c r="T27" s="216" t="n">
        <f aca="false">IF(ISERROR(R27*I27*J27),0,R27*I27*J27)</f>
        <v>0</v>
      </c>
      <c r="U27" s="228" t="n">
        <f aca="false">IF(ISERROR(R27*J27),0,R27*J27)</f>
        <v>0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/>
      </c>
      <c r="Z27" s="10" t="str">
        <f aca="false">IF(ISERROR(MATCH(A27,'[2]liste reference'!$A$8:$A$904,0)),IF(ISERROR(MATCH(A27,'[2]liste reference'!$B$8:$B$904,0)),"",(MATCH(A27,'[2]liste reference'!$B$8:$B$904,0))),(MATCH(A27,'[2]liste reference'!$A$8:$A$904,0)))</f>
        <v/>
      </c>
      <c r="AA27" s="220"/>
      <c r="AB27" s="221"/>
      <c r="AC27" s="221"/>
      <c r="BB27" s="10" t="str">
        <f aca="false">IF(A27="","",1)</f>
        <v/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0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09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9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79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ARDIERE</v>
      </c>
      <c r="B84" s="258" t="str">
        <f aca="false">C3</f>
        <v>ARDIERE A SAINT JEAU D'ARDIERE</v>
      </c>
      <c r="C84" s="259" t="n">
        <f aca="false">A4</f>
        <v>41808</v>
      </c>
      <c r="D84" s="260" t="n">
        <f aca="false">IF(ISERROR(SUM($T$23:$T$82)/SUM($U$23:$U$82)),"",SUM($T$23:$T$82)/SUM($U$23:$U$82))</f>
        <v>8</v>
      </c>
      <c r="E84" s="261" t="n">
        <f aca="false">N13</f>
        <v>2</v>
      </c>
      <c r="F84" s="258" t="n">
        <f aca="false">N14</f>
        <v>2</v>
      </c>
      <c r="G84" s="258" t="n">
        <f aca="false">N15</f>
        <v>2</v>
      </c>
      <c r="H84" s="258" t="n">
        <f aca="false">N16</f>
        <v>0</v>
      </c>
      <c r="I84" s="258" t="n">
        <f aca="false">N17</f>
        <v>0</v>
      </c>
      <c r="J84" s="262" t="n">
        <f aca="false">N8</f>
        <v>8</v>
      </c>
      <c r="K84" s="260" t="n">
        <f aca="false">N9</f>
        <v>2</v>
      </c>
      <c r="L84" s="261" t="n">
        <f aca="false">N10</f>
        <v>6</v>
      </c>
      <c r="M84" s="261" t="n">
        <f aca="false">N11</f>
        <v>10</v>
      </c>
      <c r="N84" s="260" t="n">
        <f aca="false">O8</f>
        <v>1</v>
      </c>
      <c r="O84" s="260" t="n">
        <f aca="false">O9</f>
        <v>0</v>
      </c>
      <c r="P84" s="261" t="n">
        <f aca="false">O10</f>
        <v>1</v>
      </c>
      <c r="Q84" s="261" t="n">
        <f aca="false">O11</f>
        <v>1</v>
      </c>
      <c r="R84" s="261" t="n">
        <f aca="false">F21</f>
        <v>0.09</v>
      </c>
      <c r="S84" s="261" t="n">
        <f aca="false">K11</f>
        <v>0</v>
      </c>
      <c r="T84" s="261" t="n">
        <f aca="false">K12</f>
        <v>2</v>
      </c>
      <c r="U84" s="261" t="n">
        <f aca="false">K13</f>
        <v>0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80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81</v>
      </c>
      <c r="R87" s="10"/>
      <c r="S87" s="217" t="n">
        <f aca="false">VLOOKUP(MAX($S$23:$S$82),($S$23:$U$82),1,0)</f>
        <v>10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82</v>
      </c>
      <c r="R88" s="10"/>
      <c r="S88" s="217" t="n">
        <f aca="false">VLOOKUP((S87),($S$23:$U$82),2,0)</f>
        <v>10</v>
      </c>
      <c r="T88" s="10"/>
      <c r="U88" s="10"/>
      <c r="V88" s="10"/>
    </row>
    <row r="89" customFormat="false" ht="12.75" hidden="true" customHeight="false" outlineLevel="0" collapsed="false">
      <c r="Q89" s="10" t="s">
        <v>83</v>
      </c>
      <c r="R89" s="10"/>
      <c r="S89" s="217" t="n">
        <f aca="false">VLOOKUP((S87),($S$23:$U$82),3,0)</f>
        <v>1</v>
      </c>
      <c r="T89" s="10"/>
    </row>
    <row r="90" customFormat="false" ht="12.75" hidden="false" customHeight="false" outlineLevel="0" collapsed="false">
      <c r="Q90" s="10" t="s">
        <v>84</v>
      </c>
      <c r="R90" s="10"/>
      <c r="S90" s="267" t="n">
        <f aca="false">IF(ISERROR(SUM($T$23:$T$82)/SUM($U$23:$U$82)),"",(SUM($T$23:$T$82)-S88)/(SUM($U$23:$U$82)-S89))</f>
        <v>6</v>
      </c>
      <c r="T90" s="10"/>
    </row>
    <row r="91" customFormat="false" ht="12.75" hidden="false" customHeight="false" outlineLevel="0" collapsed="false">
      <c r="Q91" s="216" t="s">
        <v>85</v>
      </c>
      <c r="R91" s="216"/>
      <c r="S91" s="216" t="str">
        <f aca="false">INDEX('[2]liste reference'!$A$8:$A$904,$T$91)</f>
        <v>MELSPX</v>
      </c>
      <c r="T91" s="10" t="n">
        <f aca="false">IF(ISERROR(MATCH($S$93,'[2]liste reference'!$A$8:$A$904,0)),MATCH($S$93,'[2]liste reference'!$B$8:$B$904,0),(MATCH($S$93,'[2]liste reference'!$A$8:$A$904,0)))</f>
        <v>36</v>
      </c>
      <c r="U91" s="256"/>
    </row>
    <row r="92" customFormat="false" ht="12.75" hidden="false" customHeight="false" outlineLevel="0" collapsed="false">
      <c r="Q92" s="10" t="s">
        <v>86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87</v>
      </c>
      <c r="R93" s="10"/>
      <c r="S93" s="216" t="str">
        <f aca="false">INDEX($A$23:$A$82,$S$92)</f>
        <v>MELSPX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2015-04-13T11:51:09Z</dcterms:created>
  <dc:creator>Laurent Bourgoin</dc:creator>
  <dc:description/>
  <dc:language>fr-FR</dc:language>
  <cp:lastModifiedBy>Laurent Bourgoin</cp:lastModifiedBy>
  <dcterms:modified xsi:type="dcterms:W3CDTF">2015-04-13T11:51:17Z</dcterms:modified>
  <cp:revision>0</cp:revision>
  <dc:subject/>
  <dc:title/>
</cp:coreProperties>
</file>