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<sst xmlns="http://schemas.openxmlformats.org/spreadsheetml/2006/main" count="112" uniqueCount="108">
  <si>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</si>
  <si>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</si>
  <si>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</si>
  <si>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</si>
  <si>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</si>
  <si>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SAONE</t>
  </si>
  <si>
    <t xml:space="preserve">SAONE A SAINT BERNARD</t>
  </si>
  <si>
    <t xml:space="preserve">06053800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</si>
  <si>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</si>
  <si>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</si>
  <si>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</si>
  <si>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</si>
  <si>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</si>
  <si>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</si>
  <si>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</si>
  <si>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</si>
  <si>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NUPLUT</t>
  </si>
  <si>
    <t xml:space="preserve">Faciès dominant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</si>
  <si>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</si>
  <si>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</si>
  <si>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</si>
  <si>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</si>
  <si>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</si>
  <si>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</si>
  <si>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</si>
  <si>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</si>
  <si>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</si>
  <si>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</si>
  <si>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</si>
  <si>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</si>
  <si>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</si>
  <si>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</si>
  <si>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</si>
  <si>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</si>
  <si>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</si>
  <si>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</si>
  <si>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</si>
  <si>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</si>
  <si>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</si>
  <si>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</si>
  <si>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</si>
  <si>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</si>
  <si>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</si>
  <si>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</si>
  <si>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</si>
  <si>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</si>
  <si>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</si>
  <si>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</si>
  <si>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</si>
  <si>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</si>
  <si>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</si>
  <si>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</si>
  <si>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</si>
  <si>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</si>
  <si>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</si>
  <si>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</si>
  <si>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</si>
  <si>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</si>
  <si>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</si>
  <si>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</si>
  <si>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</si>
  <si>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</si>
  <si>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</si>
  <si>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</si>
  <si>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</si>
  <si>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</si>
  <si>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</si>
  <si>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</si>
  <si>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</si>
  <si>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</si>
  <si>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</si>
  <si>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</si>
  <si>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</si>
  <si>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</si>
  <si>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</si>
  <si>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</si>
  <si>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</si>
  <si>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</si>
  <si>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LYNSPX</t>
  </si>
  <si>
    <t xml:space="preserve">MICSPX</t>
  </si>
  <si>
    <t xml:space="preserve">OEDSPX</t>
  </si>
  <si>
    <t xml:space="preserve">PHOSPX</t>
  </si>
  <si>
    <t xml:space="preserve">STITEN</t>
  </si>
  <si>
    <t xml:space="preserve">VAUSPX</t>
  </si>
  <si>
    <t xml:space="preserve">CERDEM</t>
  </si>
  <si>
    <t xml:space="preserve">MYRSPI</t>
  </si>
  <si>
    <t xml:space="preserve">NAJMAR</t>
  </si>
  <si>
    <t xml:space="preserve">NAJMIN</t>
  </si>
  <si>
    <t xml:space="preserve">POTCRI</t>
  </si>
  <si>
    <t xml:space="preserve">POTNOD</t>
  </si>
  <si>
    <t xml:space="preserve">POTPEC</t>
  </si>
  <si>
    <t xml:space="preserve">VALSPI</t>
  </si>
  <si>
    <t xml:space="preserve">CARACT</t>
  </si>
  <si>
    <t xml:space="preserve">CARPEN</t>
  </si>
  <si>
    <t xml:space="preserve">LYSVUL</t>
  </si>
  <si>
    <t xml:space="preserve">PHAARU</t>
  </si>
  <si>
    <t xml:space="preserve">PHRAUS</t>
  </si>
  <si>
    <t xml:space="preserve">newcod</t>
  </si>
  <si>
    <t xml:space="preserve">Salix triandra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</si>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</sst>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SABER_03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6.69090909090909</v>
      </c>
      <c r="M5" s="53"/>
      <c r="N5" s="54" t="s">
        <v>16</v>
      </c>
      <c r="O5" s="55" t="n">
        <v>6.50980392156863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0</v>
      </c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6.94444444444445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18.26</v>
      </c>
      <c r="D9" s="88"/>
      <c r="E9" s="88"/>
      <c r="F9" s="89" t="n">
        <f aca="false">($B9*$B$7+$C9*$C$7)/100</f>
        <v>18.26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3.15299191636949</v>
      </c>
      <c r="O9" s="84" t="n">
        <f aca="false">IF(ISERROR(STDEVP(J23:J82)),"      -",STDEVP(J23:J82))</f>
        <v>0.666666666666667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0.06</v>
      </c>
      <c r="D12" s="111"/>
      <c r="E12" s="111"/>
      <c r="F12" s="112" t="n">
        <f aca="false">($B12*$B$7+$C12*$C$7)/100</f>
        <v>0.06</v>
      </c>
      <c r="G12" s="120"/>
      <c r="H12" s="68"/>
      <c r="I12" s="121" t="s">
        <v>38</v>
      </c>
      <c r="J12" s="121"/>
      <c r="K12" s="115" t="n">
        <f aca="false">COUNTIF($G$23:$G$82,"=ALG")</f>
        <v>7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22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18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18.2</v>
      </c>
      <c r="D15" s="111"/>
      <c r="E15" s="111"/>
      <c r="F15" s="112" t="n">
        <f aca="false">($B15*$B$7+$C15*$C$7)/100</f>
        <v>18.2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14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 t="n">
        <v>13.35</v>
      </c>
      <c r="D16" s="140"/>
      <c r="E16" s="140"/>
      <c r="F16" s="141"/>
      <c r="G16" s="141" t="n">
        <f aca="false">($B16*$B$7+$C16*$C$7)/100</f>
        <v>13.35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4.9</v>
      </c>
      <c r="D17" s="111"/>
      <c r="E17" s="111"/>
      <c r="F17" s="143"/>
      <c r="G17" s="112" t="n">
        <f aca="false">($B17*$B$7+$C17*$C$7)/100</f>
        <v>4.9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4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18.26</v>
      </c>
      <c r="G19" s="156" t="n">
        <f aca="false">SUM(G16:G18)</f>
        <v>18.26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18.2597355371901</v>
      </c>
      <c r="D20" s="167"/>
      <c r="E20" s="168" t="s">
        <v>53</v>
      </c>
      <c r="F20" s="169" t="n">
        <f aca="false">($B20*$B$7+$C20*$C$7)/100</f>
        <v>18.2597355371901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18.2597355371901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18.2597355371901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0.03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0.03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0.03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04" t="n">
        <v>0</v>
      </c>
      <c r="C24" s="223" t="n">
        <v>0.006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Lyngbya sp.</v>
      </c>
      <c r="E24" s="224" t="e">
        <f aca="false">IF(D24="",0,VLOOKUP(D24,D$22:D23,1,0))</f>
        <v>#N/A</v>
      </c>
      <c r="F24" s="225" t="n">
        <f aca="false">($B24*$B$7+$C24*$C$7)/100</f>
        <v>0.006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Lyngbya sp.</v>
      </c>
      <c r="L24" s="226"/>
      <c r="M24" s="226"/>
      <c r="N24" s="226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1107</v>
      </c>
      <c r="Q24" s="215" t="n">
        <f aca="false">IF(ISTEXT(H24),"",(B24*$B$7/100)+(C24*$C$7/100))</f>
        <v>0.006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20</v>
      </c>
      <c r="U24" s="227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LYNSPX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35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04" t="n">
        <v>0</v>
      </c>
      <c r="C25" s="223" t="n">
        <v>0.0015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Microspora sp.</v>
      </c>
      <c r="E25" s="224" t="e">
        <f aca="false">IF(D25="",0,VLOOKUP(D25,D$22:D24,1,0))</f>
        <v>#N/A</v>
      </c>
      <c r="F25" s="225" t="n">
        <f aca="false">($B25*$B$7+$C25*$C$7)/100</f>
        <v>0.0015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Microspora sp.</v>
      </c>
      <c r="L25" s="226"/>
      <c r="M25" s="226"/>
      <c r="N25" s="226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1132</v>
      </c>
      <c r="Q25" s="215" t="n">
        <f aca="false">IF(ISTEXT(H25),"",(B25*$B$7/100)+(C25*$C$7/100))</f>
        <v>0.0015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12</v>
      </c>
      <c r="T25" s="216" t="n">
        <f aca="false">IF(ISERROR(R25*I25*J25),0,R25*I25*J25)</f>
        <v>24</v>
      </c>
      <c r="U25" s="227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MICSPX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41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04" t="n">
        <v>0</v>
      </c>
      <c r="C26" s="223" t="n">
        <v>0.003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Oedogonium sp.</v>
      </c>
      <c r="E26" s="224" t="e">
        <f aca="false">IF(D26="",0,VLOOKUP(D26,D$22:D25,1,0))</f>
        <v>#N/A</v>
      </c>
      <c r="F26" s="225" t="n">
        <f aca="false">($B26*$B$7+$C26*$C$7)/100</f>
        <v>0.003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6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Oedogonium sp.</v>
      </c>
      <c r="L26" s="226"/>
      <c r="M26" s="226"/>
      <c r="N26" s="226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1134</v>
      </c>
      <c r="Q26" s="215" t="n">
        <f aca="false">IF(ISTEXT(H26),"",(B26*$B$7/100)+(C26*$C$7/100))</f>
        <v>0.003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6</v>
      </c>
      <c r="T26" s="216" t="n">
        <f aca="false">IF(ISERROR(R26*I26*J26),0,R26*I26*J26)</f>
        <v>12</v>
      </c>
      <c r="U26" s="227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OEDSPX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55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04" t="n">
        <v>0</v>
      </c>
      <c r="C27" s="223" t="n">
        <v>0.021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Phormidium sp.</v>
      </c>
      <c r="E27" s="224" t="e">
        <f aca="false">IF(D27="",0,VLOOKUP(D27,D$22:D26,1,0))</f>
        <v>#N/A</v>
      </c>
      <c r="F27" s="225" t="n">
        <f aca="false">($B27*$B$7+$C27*$C$7)/100</f>
        <v>0.021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Phormidium sp.</v>
      </c>
      <c r="L27" s="226"/>
      <c r="M27" s="226"/>
      <c r="N27" s="226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6414</v>
      </c>
      <c r="Q27" s="215" t="n">
        <f aca="false">IF(ISTEXT(H27),"",(B27*$B$7/100)+(C27*$C$7/100))</f>
        <v>0.021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13</v>
      </c>
      <c r="T27" s="216" t="n">
        <f aca="false">IF(ISERROR(R27*I27*J27),0,R27*I27*J27)</f>
        <v>26</v>
      </c>
      <c r="U27" s="227" t="n">
        <f aca="false">IF(ISERROR(R27*J27),0,R27*J27)</f>
        <v>2</v>
      </c>
      <c r="V27" s="217" t="str">
        <f aca="false">IF(AND(A27="",F27=0),"",IF(F27=0,"Il manque le(s) % de rec. !",""))</f>
        <v/>
      </c>
      <c r="W27" s="228"/>
      <c r="Y27" s="219" t="str">
        <f aca="false">IF(A27="new.cod","NEWCOD",IF(AND((Z27=""),ISTEXT(A27)),A27,IF(Z27="","",INDEX('[1]liste reference'!$A$8:$A$904,Z27))))</f>
        <v>PHOSPX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04" t="n">
        <v>0</v>
      </c>
      <c r="C28" s="223" t="n">
        <v>0.0015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Stigeoclonium tenue</v>
      </c>
      <c r="E28" s="224" t="e">
        <f aca="false">IF(D28="",0,VLOOKUP(D28,D$22:D27,1,0))</f>
        <v>#N/A</v>
      </c>
      <c r="F28" s="225" t="n">
        <f aca="false">($B28*$B$7+$C28*$C$7)/100</f>
        <v>0.0015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Stigeoclonium tenue</v>
      </c>
      <c r="L28" s="226"/>
      <c r="M28" s="226"/>
      <c r="N28" s="226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5583</v>
      </c>
      <c r="Q28" s="215" t="n">
        <f aca="false">IF(ISTEXT(H28),"",(B28*$B$7/100)+(C28*$C$7/100))</f>
        <v>0.0015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</v>
      </c>
      <c r="T28" s="216" t="n">
        <f aca="false">IF(ISERROR(R28*I28*J28),0,R28*I28*J28)</f>
        <v>3</v>
      </c>
      <c r="U28" s="227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STITEN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72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04" t="n">
        <v>0</v>
      </c>
      <c r="C29" s="223" t="n">
        <v>0.0015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Vaucheria sp.</v>
      </c>
      <c r="E29" s="224" t="e">
        <f aca="false">IF(D29="",0,VLOOKUP(D29,D$22:D28,1,0))</f>
        <v>#N/A</v>
      </c>
      <c r="F29" s="225" t="n">
        <f aca="false">($B29*$B$7+$C29*$C$7)/100</f>
        <v>0.0015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4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Vaucheria sp.</v>
      </c>
      <c r="L29" s="226"/>
      <c r="M29" s="226"/>
      <c r="N29" s="226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6193</v>
      </c>
      <c r="Q29" s="215" t="n">
        <f aca="false">IF(ISTEXT(H29),"",(B29*$B$7/100)+(C29*$C$7/100))</f>
        <v>0.0015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4</v>
      </c>
      <c r="T29" s="216" t="n">
        <f aca="false">IF(ISERROR(R29*I29*J29),0,R29*I29*J29)</f>
        <v>4</v>
      </c>
      <c r="U29" s="227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VAUSPX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82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04" t="n">
        <v>0</v>
      </c>
      <c r="C30" s="223" t="n">
        <v>0.317615702479339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Ceratophyllum demersum</v>
      </c>
      <c r="E30" s="224" t="e">
        <f aca="false">IF(D30="",0,VLOOKUP(D30,D$22:D29,1,0))</f>
        <v>#N/A</v>
      </c>
      <c r="F30" s="225" t="n">
        <f aca="false">($B30*$B$7+$C30*$C$7)/100</f>
        <v>0.317615702479339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PHy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7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5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Ceratophyllum demersum</v>
      </c>
      <c r="L30" s="226"/>
      <c r="M30" s="226"/>
      <c r="N30" s="226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1717</v>
      </c>
      <c r="Q30" s="215" t="n">
        <f aca="false">IF(ISTEXT(H30),"",(B30*$B$7/100)+(C30*$C$7/100))</f>
        <v>0.317615702479339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10</v>
      </c>
      <c r="T30" s="216" t="n">
        <f aca="false">IF(ISERROR(R30*I30*J30),0,R30*I30*J30)</f>
        <v>20</v>
      </c>
      <c r="U30" s="227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CERDEM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330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04" t="n">
        <v>0</v>
      </c>
      <c r="C31" s="223" t="n">
        <v>1.19571487603306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Myriophyllum spicatum</v>
      </c>
      <c r="E31" s="224" t="e">
        <f aca="false">IF(D31="",0,VLOOKUP(D31,D$22:D30,1,0))</f>
        <v>#N/A</v>
      </c>
      <c r="F31" s="225" t="n">
        <f aca="false">($B31*$B$7+$C31*$C$7)/100</f>
        <v>1.19571487603306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8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Myriophyllum spicatum</v>
      </c>
      <c r="L31" s="226"/>
      <c r="M31" s="226"/>
      <c r="N31" s="226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1778</v>
      </c>
      <c r="Q31" s="215" t="n">
        <f aca="false">IF(ISTEXT(H31),"",(B31*$B$7/100)+(C31*$C$7/100))</f>
        <v>1.19571487603306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24</v>
      </c>
      <c r="T31" s="216" t="n">
        <f aca="false">IF(ISERROR(R31*I31*J31),0,R31*I31*J31)</f>
        <v>48</v>
      </c>
      <c r="U31" s="227" t="n">
        <f aca="false">IF(ISERROR(R31*J31),0,R31*J31)</f>
        <v>6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MYRSPI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373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04" t="n">
        <v>0</v>
      </c>
      <c r="C32" s="223" t="n">
        <v>1.22933884297521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Najas marina</v>
      </c>
      <c r="E32" s="224" t="e">
        <f aca="false">IF(D32="",0,VLOOKUP(D32,D$22:D31,1,0))</f>
        <v>#N/A</v>
      </c>
      <c r="F32" s="225" t="n">
        <f aca="false">($B32*$B$7+$C32*$C$7)/100</f>
        <v>1.22933884297521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5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Najas marina</v>
      </c>
      <c r="L32" s="226"/>
      <c r="M32" s="226"/>
      <c r="N32" s="226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1835</v>
      </c>
      <c r="Q32" s="215" t="n">
        <f aca="false">IF(ISTEXT(H32),"",(B32*$B$7/100)+(C32*$C$7/100))</f>
        <v>1.22933884297521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15</v>
      </c>
      <c r="T32" s="216" t="n">
        <f aca="false">IF(ISERROR(R32*I32*J32),0,R32*I32*J32)</f>
        <v>45</v>
      </c>
      <c r="U32" s="227" t="n">
        <f aca="false">IF(ISERROR(R32*J32),0,R32*J32)</f>
        <v>9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NAJMAR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379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04" t="n">
        <v>0</v>
      </c>
      <c r="C33" s="223" t="n">
        <v>0.0351239669421488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Najas minor</v>
      </c>
      <c r="E33" s="224" t="e">
        <f aca="false">IF(D33="",0,VLOOKUP(D33,D$22:D32,1,0))</f>
        <v>#N/A</v>
      </c>
      <c r="F33" s="225" t="n">
        <f aca="false">($B33*$B$7+$C33*$C$7)/100</f>
        <v>0.0351239669421488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6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Najas minor</v>
      </c>
      <c r="L33" s="226"/>
      <c r="M33" s="226"/>
      <c r="N33" s="226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1836</v>
      </c>
      <c r="Q33" s="215" t="n">
        <f aca="false">IF(ISTEXT(H33),"",(B33*$B$7/100)+(C33*$C$7/100))</f>
        <v>0.0351239669421488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6</v>
      </c>
      <c r="T33" s="216" t="n">
        <f aca="false">IF(ISERROR(R33*I33*J33),0,R33*I33*J33)</f>
        <v>18</v>
      </c>
      <c r="U33" s="227" t="n">
        <f aca="false">IF(ISERROR(R33*J33),0,R33*J33)</f>
        <v>3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NAJMIN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383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16</v>
      </c>
      <c r="B34" s="204" t="n">
        <v>0</v>
      </c>
      <c r="C34" s="223" t="n">
        <v>13.3148760330579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Nuphar lutea</v>
      </c>
      <c r="E34" s="224" t="e">
        <f aca="false">IF(D34="",0,VLOOKUP(D34,D$22:D33,1,0))</f>
        <v>#N/A</v>
      </c>
      <c r="F34" s="229" t="n">
        <f aca="false">($B34*$B$7+$C34*$C$7)/100</f>
        <v>13.3148760330579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PHy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7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9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Nuphar lutea</v>
      </c>
      <c r="L34" s="226"/>
      <c r="M34" s="226"/>
      <c r="N34" s="226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1839</v>
      </c>
      <c r="Q34" s="215" t="n">
        <f aca="false">IF(ISTEXT(H34),"",(B34*$B$7/100)+(C34*$C$7/100))</f>
        <v>13.3148760330579</v>
      </c>
      <c r="R34" s="216" t="n">
        <f aca="false">IF(OR(ISTEXT(H34),Q34=0),"",IF(Q34&lt;0.1,1,IF(Q34&lt;1,2,IF(Q34&lt;10,3,IF(Q34&lt;50,4,IF(Q34&gt;=50,5,""))))))</f>
        <v>4</v>
      </c>
      <c r="S34" s="216" t="n">
        <f aca="false">IF(ISERROR(R34*I34),0,R34*I34)</f>
        <v>36</v>
      </c>
      <c r="T34" s="216" t="n">
        <f aca="false">IF(ISERROR(R34*I34*J34),0,R34*I34*J34)</f>
        <v>36</v>
      </c>
      <c r="U34" s="227" t="n">
        <f aca="false">IF(ISERROR(R34*J34),0,R34*J34)</f>
        <v>4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NUPLUT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389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88</v>
      </c>
      <c r="B35" s="204" t="n">
        <v>0</v>
      </c>
      <c r="C35" s="223" t="n">
        <v>0.0015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Potamogeton crispus</v>
      </c>
      <c r="E35" s="224" t="e">
        <f aca="false">IF(D35="",0,VLOOKUP(D35,D$22:D34,1,0))</f>
        <v>#N/A</v>
      </c>
      <c r="F35" s="229" t="n">
        <f aca="false">($B35*$B$7+$C35*$C$7)/100</f>
        <v>0.0015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PHy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7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7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Potamogeton crispus</v>
      </c>
      <c r="L35" s="226"/>
      <c r="M35" s="226"/>
      <c r="N35" s="226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1645</v>
      </c>
      <c r="Q35" s="215" t="n">
        <f aca="false">IF(ISTEXT(H35),"",(B35*$B$7/100)+(C35*$C$7/100))</f>
        <v>0.0015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7</v>
      </c>
      <c r="T35" s="216" t="n">
        <f aca="false">IF(ISERROR(R35*I35*J35),0,R35*I35*J35)</f>
        <v>14</v>
      </c>
      <c r="U35" s="227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POTCRI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409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89</v>
      </c>
      <c r="B36" s="204" t="n">
        <v>0</v>
      </c>
      <c r="C36" s="223" t="n">
        <v>0.0351239669421488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Potamogeton nodosus</v>
      </c>
      <c r="E36" s="224" t="e">
        <f aca="false">IF(D36="",0,VLOOKUP(D36,D$22:D35,1,0))</f>
        <v>#N/A</v>
      </c>
      <c r="F36" s="229" t="n">
        <f aca="false">($B36*$B$7+$C36*$C$7)/100</f>
        <v>0.0351239669421488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PHy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7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4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3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Potamogeton nodosus</v>
      </c>
      <c r="L36" s="226"/>
      <c r="M36" s="226"/>
      <c r="N36" s="226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1652</v>
      </c>
      <c r="Q36" s="215" t="n">
        <f aca="false">IF(ISTEXT(H36),"",(B36*$B$7/100)+(C36*$C$7/100))</f>
        <v>0.0351239669421488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4</v>
      </c>
      <c r="T36" s="216" t="n">
        <f aca="false">IF(ISERROR(R36*I36*J36),0,R36*I36*J36)</f>
        <v>12</v>
      </c>
      <c r="U36" s="227" t="n">
        <f aca="false">IF(ISERROR(R36*J36),0,R36*J36)</f>
        <v>3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POTNOD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418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90</v>
      </c>
      <c r="B37" s="204" t="n">
        <v>0</v>
      </c>
      <c r="C37" s="223" t="n">
        <v>0.0501239669421488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Potamogeton pectinatus</v>
      </c>
      <c r="E37" s="224" t="e">
        <f aca="false">IF(D37="",0,VLOOKUP(D37,D$22:D36,1,0))</f>
        <v>#N/A</v>
      </c>
      <c r="F37" s="229" t="n">
        <f aca="false">($B37*$B$7+$C37*$C$7)/100</f>
        <v>0.0501239669421488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PHy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7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2</v>
      </c>
      <c r="J37" s="210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Potamogeton pectinatus</v>
      </c>
      <c r="L37" s="226"/>
      <c r="M37" s="226"/>
      <c r="N37" s="226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1655</v>
      </c>
      <c r="Q37" s="215" t="n">
        <f aca="false">IF(ISTEXT(H37),"",(B37*$B$7/100)+(C37*$C$7/100))</f>
        <v>0.0501239669421488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2</v>
      </c>
      <c r="T37" s="216" t="n">
        <f aca="false">IF(ISERROR(R37*I37*J37),0,R37*I37*J37)</f>
        <v>4</v>
      </c>
      <c r="U37" s="227" t="n">
        <f aca="false">IF(ISERROR(R37*J37),0,R37*J37)</f>
        <v>2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POTPEC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421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91</v>
      </c>
      <c r="B38" s="204" t="n">
        <v>0</v>
      </c>
      <c r="C38" s="223" t="n">
        <v>2.00681818181818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Vallisneria spiralis</v>
      </c>
      <c r="E38" s="224" t="e">
        <f aca="false">IF(D38="",0,VLOOKUP(D38,D$22:D37,1,0))</f>
        <v>#N/A</v>
      </c>
      <c r="F38" s="229" t="n">
        <f aca="false">($B38*$B$7+$C38*$C$7)/100</f>
        <v>2.00681818181818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PHy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7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8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2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Vallisneria spiralis</v>
      </c>
      <c r="L38" s="226"/>
      <c r="M38" s="226"/>
      <c r="N38" s="226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1598</v>
      </c>
      <c r="Q38" s="215" t="n">
        <f aca="false">IF(ISTEXT(H38),"",(B38*$B$7/100)+(C38*$C$7/100))</f>
        <v>2.00681818181818</v>
      </c>
      <c r="R38" s="216" t="n">
        <f aca="false">IF(OR(ISTEXT(H38),Q38=0),"",IF(Q38&lt;0.1,1,IF(Q38&lt;1,2,IF(Q38&lt;10,3,IF(Q38&lt;50,4,IF(Q38&gt;=50,5,""))))))</f>
        <v>3</v>
      </c>
      <c r="S38" s="216" t="n">
        <f aca="false">IF(ISERROR(R38*I38),0,R38*I38)</f>
        <v>24</v>
      </c>
      <c r="T38" s="216" t="n">
        <f aca="false">IF(ISERROR(R38*I38*J38),0,R38*I38*J38)</f>
        <v>48</v>
      </c>
      <c r="U38" s="227" t="n">
        <f aca="false">IF(ISERROR(R38*J38),0,R38*J38)</f>
        <v>6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VALSPI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498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92</v>
      </c>
      <c r="B39" s="204" t="n">
        <v>0</v>
      </c>
      <c r="C39" s="223" t="n">
        <v>0.0015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Carex acutiformis</v>
      </c>
      <c r="E39" s="224" t="e">
        <f aca="false">IF(D39="",0,VLOOKUP(D39,D$22:D38,1,0))</f>
        <v>#N/A</v>
      </c>
      <c r="F39" s="229" t="n">
        <f aca="false">($B39*$B$7+$C39*$C$7)/100</f>
        <v>0.0015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PHe</v>
      </c>
      <c r="H39" s="209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8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Carex acutiformis</v>
      </c>
      <c r="L39" s="226"/>
      <c r="M39" s="226"/>
      <c r="N39" s="226"/>
      <c r="O39" s="213"/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1468</v>
      </c>
      <c r="Q39" s="215" t="n">
        <f aca="false">IF(ISTEXT(H39),"",(B39*$B$7/100)+(C39*$C$7/100))</f>
        <v>0.0015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0</v>
      </c>
      <c r="T39" s="216" t="n">
        <f aca="false">IF(ISERROR(R39*I39*J39),0,R39*I39*J39)</f>
        <v>0</v>
      </c>
      <c r="U39" s="227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CARACT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537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 t="s">
        <v>93</v>
      </c>
      <c r="B40" s="204" t="n">
        <v>0</v>
      </c>
      <c r="C40" s="223" t="n">
        <v>0.0015</v>
      </c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Carex pendula</v>
      </c>
      <c r="E40" s="224" t="e">
        <f aca="false">IF(D40="",0,VLOOKUP(D40,D$22:D39,1,0))</f>
        <v>#N/A</v>
      </c>
      <c r="F40" s="229" t="n">
        <f aca="false">($B40*$B$7+$C40*$C$7)/100</f>
        <v>0.0015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09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Carex pendula</v>
      </c>
      <c r="L40" s="226"/>
      <c r="M40" s="226"/>
      <c r="N40" s="226"/>
      <c r="O40" s="213"/>
      <c r="P40" s="214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1485</v>
      </c>
      <c r="Q40" s="215" t="n">
        <f aca="false">IF(ISTEXT(H40),"",(B40*$B$7/100)+(C40*$C$7/100))</f>
        <v>0.0015</v>
      </c>
      <c r="R40" s="216" t="n">
        <f aca="false">IF(OR(ISTEXT(H40),Q40=0),"",IF(Q40&lt;0.1,1,IF(Q40&lt;1,2,IF(Q40&lt;10,3,IF(Q40&lt;50,4,IF(Q40&gt;=50,5,""))))))</f>
        <v>1</v>
      </c>
      <c r="S40" s="216" t="n">
        <f aca="false">IF(ISERROR(R40*I40),0,R40*I40)</f>
        <v>0</v>
      </c>
      <c r="T40" s="216" t="n">
        <f aca="false">IF(ISERROR(R40*I40*J40),0,R40*I40*J40)</f>
        <v>0</v>
      </c>
      <c r="U40" s="227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>CARPEN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541</v>
      </c>
      <c r="AA40" s="220"/>
      <c r="AB40" s="221"/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22" t="s">
        <v>94</v>
      </c>
      <c r="B41" s="204" t="n">
        <v>0</v>
      </c>
      <c r="C41" s="223" t="n">
        <v>0.0015</v>
      </c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Lysimachia vulgaris</v>
      </c>
      <c r="E41" s="224" t="e">
        <f aca="false">IF(D41="",0,VLOOKUP(D41,D$22:D40,1,0))</f>
        <v>#N/A</v>
      </c>
      <c r="F41" s="229" t="n">
        <f aca="false">($B41*$B$7+$C41*$C$7)/100</f>
        <v>0.0015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PHe</v>
      </c>
      <c r="H41" s="209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8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Lysimachia vulgaris</v>
      </c>
      <c r="L41" s="226"/>
      <c r="M41" s="226"/>
      <c r="N41" s="226"/>
      <c r="O41" s="213"/>
      <c r="P41" s="214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1887</v>
      </c>
      <c r="Q41" s="215" t="n">
        <f aca="false">IF(ISTEXT(H41),"",(B41*$B$7/100)+(C41*$C$7/100))</f>
        <v>0.0015</v>
      </c>
      <c r="R41" s="216" t="n">
        <f aca="false">IF(OR(ISTEXT(H41),Q41=0),"",IF(Q41&lt;0.1,1,IF(Q41&lt;1,2,IF(Q41&lt;10,3,IF(Q41&lt;50,4,IF(Q41&gt;=50,5,""))))))</f>
        <v>1</v>
      </c>
      <c r="S41" s="216" t="n">
        <f aca="false">IF(ISERROR(R41*I41),0,R41*I41)</f>
        <v>0</v>
      </c>
      <c r="T41" s="216" t="n">
        <f aca="false">IF(ISERROR(R41*I41*J41),0,R41*I41*J41)</f>
        <v>0</v>
      </c>
      <c r="U41" s="227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>LYSVUL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601</v>
      </c>
      <c r="AA41" s="220"/>
      <c r="AB41" s="221"/>
      <c r="AC41" s="221"/>
      <c r="BB41" s="10" t="n">
        <f aca="false">IF(A41="","",1)</f>
        <v>1</v>
      </c>
    </row>
    <row r="42" customFormat="false" ht="12.75" hidden="false" customHeight="false" outlineLevel="0" collapsed="false">
      <c r="A42" s="222" t="s">
        <v>95</v>
      </c>
      <c r="B42" s="204" t="n">
        <v>0</v>
      </c>
      <c r="C42" s="223" t="n">
        <v>0.0015</v>
      </c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Phalaris arundinacea</v>
      </c>
      <c r="E42" s="224" t="e">
        <f aca="false">IF(D42="",0,VLOOKUP(D42,D$22:D41,1,0))</f>
        <v>#N/A</v>
      </c>
      <c r="F42" s="229" t="n">
        <f aca="false">($B42*$B$7+$C42*$C$7)/100</f>
        <v>0.0015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PHe</v>
      </c>
      <c r="H42" s="209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8</v>
      </c>
      <c r="I42" s="210" t="n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>10</v>
      </c>
      <c r="J42" s="210" t="n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>1</v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Phalaris arundinacea</v>
      </c>
      <c r="L42" s="226"/>
      <c r="M42" s="226"/>
      <c r="N42" s="226"/>
      <c r="O42" s="213"/>
      <c r="P42" s="214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1577</v>
      </c>
      <c r="Q42" s="215" t="n">
        <f aca="false">IF(ISTEXT(H42),"",(B42*$B$7/100)+(C42*$C$7/100))</f>
        <v>0.0015</v>
      </c>
      <c r="R42" s="216" t="n">
        <f aca="false">IF(OR(ISTEXT(H42),Q42=0),"",IF(Q42&lt;0.1,1,IF(Q42&lt;1,2,IF(Q42&lt;10,3,IF(Q42&lt;50,4,IF(Q42&gt;=50,5,""))))))</f>
        <v>1</v>
      </c>
      <c r="S42" s="216" t="n">
        <f aca="false">IF(ISERROR(R42*I42),0,R42*I42)</f>
        <v>10</v>
      </c>
      <c r="T42" s="216" t="n">
        <f aca="false">IF(ISERROR(R42*I42*J42),0,R42*I42*J42)</f>
        <v>10</v>
      </c>
      <c r="U42" s="227" t="n">
        <f aca="false">IF(ISERROR(R42*J42),0,R42*J42)</f>
        <v>1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>PHAARU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634</v>
      </c>
      <c r="AA42" s="220"/>
      <c r="AB42" s="221"/>
      <c r="AC42" s="221"/>
      <c r="BB42" s="10" t="n">
        <f aca="false">IF(A42="","",1)</f>
        <v>1</v>
      </c>
    </row>
    <row r="43" customFormat="false" ht="12.75" hidden="false" customHeight="false" outlineLevel="0" collapsed="false">
      <c r="A43" s="222" t="s">
        <v>96</v>
      </c>
      <c r="B43" s="204" t="n">
        <v>0</v>
      </c>
      <c r="C43" s="223" t="n">
        <v>0.0015</v>
      </c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Phragmites australis</v>
      </c>
      <c r="E43" s="224" t="e">
        <f aca="false">IF(D43="",0,VLOOKUP(D43,D$22:D42,1,0))</f>
        <v>#N/A</v>
      </c>
      <c r="F43" s="229" t="n">
        <f aca="false">($B43*$B$7+$C43*$C$7)/100</f>
        <v>0.0015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PHe</v>
      </c>
      <c r="H43" s="209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8</v>
      </c>
      <c r="I43" s="210" t="n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>9</v>
      </c>
      <c r="J43" s="210" t="n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>2</v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Phragmites australis</v>
      </c>
      <c r="L43" s="226"/>
      <c r="M43" s="226"/>
      <c r="N43" s="226"/>
      <c r="O43" s="213"/>
      <c r="P43" s="214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1579</v>
      </c>
      <c r="Q43" s="215" t="n">
        <f aca="false">IF(ISTEXT(H43),"",(B43*$B$7/100)+(C43*$C$7/100))</f>
        <v>0.0015</v>
      </c>
      <c r="R43" s="216" t="n">
        <f aca="false">IF(OR(ISTEXT(H43),Q43=0),"",IF(Q43&lt;0.1,1,IF(Q43&lt;1,2,IF(Q43&lt;10,3,IF(Q43&lt;50,4,IF(Q43&gt;=50,5,""))))))</f>
        <v>1</v>
      </c>
      <c r="S43" s="216" t="n">
        <f aca="false">IF(ISERROR(R43*I43),0,R43*I43)</f>
        <v>9</v>
      </c>
      <c r="T43" s="216" t="n">
        <f aca="false">IF(ISERROR(R43*I43*J43),0,R43*I43*J43)</f>
        <v>18</v>
      </c>
      <c r="U43" s="227" t="n">
        <f aca="false">IF(ISERROR(R43*J43),0,R43*J43)</f>
        <v>2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>PHRAUS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635</v>
      </c>
      <c r="AA43" s="220"/>
      <c r="AB43" s="221"/>
      <c r="AC43" s="221"/>
      <c r="BB43" s="10" t="n">
        <f aca="false">IF(A43="","",1)</f>
        <v>1</v>
      </c>
    </row>
    <row r="44" customFormat="false" ht="12.75" hidden="false" customHeight="false" outlineLevel="0" collapsed="false">
      <c r="A44" s="222" t="s">
        <v>97</v>
      </c>
      <c r="B44" s="204" t="n">
        <v>0</v>
      </c>
      <c r="C44" s="223" t="n">
        <v>0.0015</v>
      </c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4" t="n">
        <f aca="false">IF(D44="",0,VLOOKUP(D44,D$22:D43,1,0))</f>
        <v>0</v>
      </c>
      <c r="F44" s="229" t="n">
        <f aca="false">($B44*$B$7+$C44*$C$7)/100</f>
        <v>0.0015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    -</v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Salix triandra</v>
      </c>
      <c r="L44" s="226"/>
      <c r="M44" s="226"/>
      <c r="N44" s="226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No</v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7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>newcod</v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 t="s">
        <v>98</v>
      </c>
      <c r="AC44" s="221"/>
      <c r="BB44" s="10" t="n">
        <f aca="false">IF(A44="","",1)</f>
        <v>1</v>
      </c>
    </row>
    <row r="45" customFormat="false" ht="12.75" hidden="false" customHeight="false" outlineLevel="0" collapsed="false">
      <c r="A45" s="222"/>
      <c r="B45" s="230"/>
      <c r="C45" s="223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4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6"/>
      <c r="M45" s="226"/>
      <c r="N45" s="226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7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30"/>
      <c r="C46" s="223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4" t="n">
        <f aca="false">IF(D46="",0,VLOOKUP(D46,D$22:D39,1,0))</f>
        <v>0</v>
      </c>
      <c r="F46" s="229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6"/>
      <c r="M46" s="226"/>
      <c r="N46" s="226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7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30"/>
      <c r="C47" s="223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4" t="n">
        <f aca="false">IF(D47="",0,VLOOKUP(D47,D$22:D39,1,0))</f>
        <v>0</v>
      </c>
      <c r="F47" s="229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6"/>
      <c r="M47" s="226"/>
      <c r="N47" s="226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7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30"/>
      <c r="C48" s="223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4" t="n">
        <f aca="false">IF(D48="",0,VLOOKUP(D48,D$22:D40,1,0))</f>
        <v>0</v>
      </c>
      <c r="F48" s="229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6"/>
      <c r="M48" s="226"/>
      <c r="N48" s="226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7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30"/>
      <c r="C49" s="223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4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6"/>
      <c r="M49" s="226"/>
      <c r="N49" s="226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7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30"/>
      <c r="C50" s="223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4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6"/>
      <c r="M50" s="226"/>
      <c r="N50" s="226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7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30"/>
      <c r="C51" s="223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4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6"/>
      <c r="M51" s="226"/>
      <c r="N51" s="226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7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30"/>
      <c r="C52" s="223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4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6"/>
      <c r="M52" s="226"/>
      <c r="N52" s="226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7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30"/>
      <c r="C53" s="223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4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6"/>
      <c r="M53" s="226"/>
      <c r="N53" s="226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7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30"/>
      <c r="C54" s="223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4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6"/>
      <c r="M54" s="226"/>
      <c r="N54" s="226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7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30"/>
      <c r="C55" s="223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4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6"/>
      <c r="M55" s="226"/>
      <c r="N55" s="226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7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30"/>
      <c r="C56" s="223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4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6"/>
      <c r="M56" s="226"/>
      <c r="N56" s="226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7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30"/>
      <c r="C57" s="223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4" t="n">
        <f aca="false">IF(D57="",0,VLOOKUP(D57,D$21:D56,1,0))</f>
        <v>0</v>
      </c>
      <c r="F57" s="229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6"/>
      <c r="M57" s="226"/>
      <c r="N57" s="226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7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30"/>
      <c r="C58" s="223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4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6"/>
      <c r="M58" s="226"/>
      <c r="N58" s="226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7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30"/>
      <c r="C59" s="223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4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7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30"/>
      <c r="C60" s="223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4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7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30"/>
      <c r="C61" s="223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4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6"/>
      <c r="M61" s="226"/>
      <c r="N61" s="226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7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30"/>
      <c r="C62" s="223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4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6"/>
      <c r="M62" s="226"/>
      <c r="N62" s="226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7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30"/>
      <c r="C63" s="223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4" t="n">
        <f aca="false">IF(D63="",0,VLOOKUP(D63,D$22:D62,1,0))</f>
        <v>0</v>
      </c>
      <c r="F63" s="229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6"/>
      <c r="M63" s="226"/>
      <c r="N63" s="226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7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30"/>
      <c r="C64" s="223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4" t="n">
        <f aca="false">IF(D64="",0,VLOOKUP(D64,D$22:D52,1,0))</f>
        <v>0</v>
      </c>
      <c r="F64" s="229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6"/>
      <c r="M64" s="226"/>
      <c r="N64" s="226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7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30"/>
      <c r="C65" s="223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4" t="n">
        <f aca="false">IF(D65="",0,VLOOKUP(D65,D$22:D53,1,0))</f>
        <v>0</v>
      </c>
      <c r="F65" s="229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6"/>
      <c r="M65" s="226"/>
      <c r="N65" s="226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7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30"/>
      <c r="C66" s="223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4" t="n">
        <f aca="false">IF(D66="",0,VLOOKUP(D66,D$22:D51,1,0))</f>
        <v>0</v>
      </c>
      <c r="F66" s="229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6"/>
      <c r="M66" s="226"/>
      <c r="N66" s="226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7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30"/>
      <c r="C67" s="223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4" t="n">
        <f aca="false">IF(D67="",0,VLOOKUP(D67,D$22:D52,1,0))</f>
        <v>0</v>
      </c>
      <c r="F67" s="229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6"/>
      <c r="M67" s="226"/>
      <c r="N67" s="226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7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30"/>
      <c r="C68" s="223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4" t="n">
        <f aca="false">IF(D68="",0,VLOOKUP(D68,D$22:D53,1,0))</f>
        <v>0</v>
      </c>
      <c r="F68" s="229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6"/>
      <c r="M68" s="226"/>
      <c r="N68" s="226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7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30"/>
      <c r="C69" s="223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4" t="n">
        <f aca="false">IF(D69="",0,VLOOKUP(D69,D$22:D54,1,0))</f>
        <v>0</v>
      </c>
      <c r="F69" s="229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6"/>
      <c r="M69" s="226"/>
      <c r="N69" s="226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7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30"/>
      <c r="C70" s="223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4" t="n">
        <f aca="false">IF(D70="",0,VLOOKUP(D70,D$22:D55,1,0))</f>
        <v>0</v>
      </c>
      <c r="F70" s="229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6"/>
      <c r="M70" s="226"/>
      <c r="N70" s="226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7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30"/>
      <c r="C71" s="223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4" t="n">
        <f aca="false">IF(D71="",0,VLOOKUP(D71,D$22:D56,1,0))</f>
        <v>0</v>
      </c>
      <c r="F71" s="229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6"/>
      <c r="M71" s="226"/>
      <c r="N71" s="226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7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30"/>
      <c r="C72" s="223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4" t="n">
        <f aca="false">IF(D72="",0,VLOOKUP(D72,D$22:D57,1,0))</f>
        <v>0</v>
      </c>
      <c r="F72" s="229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6"/>
      <c r="M72" s="226"/>
      <c r="N72" s="226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7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30"/>
      <c r="C73" s="223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4" t="n">
        <f aca="false">IF(D73="",0,VLOOKUP(D73,D$22:D57,1,0))</f>
        <v>0</v>
      </c>
      <c r="F73" s="229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6"/>
      <c r="M73" s="226"/>
      <c r="N73" s="226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7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30"/>
      <c r="C74" s="223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4" t="n">
        <f aca="false">IF(D74="",0,VLOOKUP(D74,D$22:D58,1,0))</f>
        <v>0</v>
      </c>
      <c r="F74" s="229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6"/>
      <c r="M74" s="226"/>
      <c r="N74" s="226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7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30"/>
      <c r="C75" s="223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4" t="n">
        <f aca="false">IF(D75="",0,VLOOKUP(D75,D$22:D59,1,0))</f>
        <v>0</v>
      </c>
      <c r="F75" s="229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6"/>
      <c r="M75" s="226"/>
      <c r="N75" s="226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7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30"/>
      <c r="C76" s="223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4" t="n">
        <f aca="false">IF(D76="",0,VLOOKUP(D76,D$22:D59,1,0))</f>
        <v>0</v>
      </c>
      <c r="F76" s="229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6"/>
      <c r="M76" s="226"/>
      <c r="N76" s="226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7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30"/>
      <c r="C77" s="223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4" t="n">
        <f aca="false">IF(D77="",0,VLOOKUP(D77,D$22:D75,1,0))</f>
        <v>0</v>
      </c>
      <c r="F77" s="229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6"/>
      <c r="M77" s="226"/>
      <c r="N77" s="226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7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30"/>
      <c r="C78" s="223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4" t="n">
        <f aca="false">IF(D78="",0,VLOOKUP(D78,D$22:D75,1,0))</f>
        <v>0</v>
      </c>
      <c r="F78" s="229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6"/>
      <c r="M78" s="226"/>
      <c r="N78" s="226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7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30"/>
      <c r="C79" s="223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4" t="n">
        <f aca="false">IF(D79="",0,VLOOKUP(D79,D$22:D75,1,0))</f>
        <v>0</v>
      </c>
      <c r="F79" s="229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6"/>
      <c r="M79" s="226"/>
      <c r="N79" s="226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7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30"/>
      <c r="C80" s="223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4" t="n">
        <f aca="false">IF(D80="",0,VLOOKUP(D80,D$22:D79,1,0))</f>
        <v>0</v>
      </c>
      <c r="F80" s="229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6"/>
      <c r="M80" s="226"/>
      <c r="N80" s="226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7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30"/>
      <c r="C81" s="223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4" t="n">
        <f aca="false">IF(D81="",0,VLOOKUP(D81,D$21:D80,1,0))</f>
        <v>0</v>
      </c>
      <c r="F81" s="229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7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7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SAONE</v>
      </c>
      <c r="B84" s="258" t="str">
        <f aca="false">C3</f>
        <v>SAONE A SAINT BERNARD</v>
      </c>
      <c r="C84" s="259" t="n">
        <f aca="false">A4</f>
        <v>41520</v>
      </c>
      <c r="D84" s="260" t="n">
        <f aca="false">IF(ISERROR(SUM($T$23:$T$82)/SUM($U$23:$U$82)),"",SUM($T$23:$T$82)/SUM($U$23:$U$82))</f>
        <v>6.69090909090909</v>
      </c>
      <c r="E84" s="261" t="n">
        <f aca="false">N13</f>
        <v>22</v>
      </c>
      <c r="F84" s="258" t="n">
        <f aca="false">N14</f>
        <v>18</v>
      </c>
      <c r="G84" s="258" t="n">
        <f aca="false">N15</f>
        <v>4</v>
      </c>
      <c r="H84" s="258" t="n">
        <f aca="false">N16</f>
        <v>10</v>
      </c>
      <c r="I84" s="258" t="n">
        <f aca="false">N17</f>
        <v>4</v>
      </c>
      <c r="J84" s="262" t="n">
        <f aca="false">N8</f>
        <v>6.94444444444445</v>
      </c>
      <c r="K84" s="260" t="n">
        <f aca="false">N9</f>
        <v>3.15299191636949</v>
      </c>
      <c r="L84" s="261" t="n">
        <f aca="false">N10</f>
        <v>1</v>
      </c>
      <c r="M84" s="261" t="n">
        <f aca="false">N11</f>
        <v>13</v>
      </c>
      <c r="N84" s="260" t="n">
        <f aca="false">O8</f>
        <v>2</v>
      </c>
      <c r="O84" s="260" t="n">
        <f aca="false">O9</f>
        <v>0.666666666666667</v>
      </c>
      <c r="P84" s="261" t="n">
        <f aca="false">O10</f>
        <v>1</v>
      </c>
      <c r="Q84" s="261" t="n">
        <f aca="false">O11</f>
        <v>3</v>
      </c>
      <c r="R84" s="261" t="n">
        <f aca="false">F21</f>
        <v>18.2597355371901</v>
      </c>
      <c r="S84" s="261" t="n">
        <f aca="false">K11</f>
        <v>0</v>
      </c>
      <c r="T84" s="261" t="n">
        <f aca="false">K12</f>
        <v>7</v>
      </c>
      <c r="U84" s="261" t="n">
        <f aca="false">K13</f>
        <v>0</v>
      </c>
      <c r="V84" s="263" t="n">
        <f aca="false">K14</f>
        <v>0</v>
      </c>
      <c r="W84" s="264" t="n">
        <f aca="false">K15</f>
        <v>14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100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101</v>
      </c>
      <c r="R87" s="10"/>
      <c r="S87" s="217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102</v>
      </c>
      <c r="R88" s="10"/>
      <c r="S88" s="217" t="n">
        <f aca="false">VLOOKUP((S87),($S$23:$U$82),2,0)</f>
        <v>36</v>
      </c>
      <c r="T88" s="10"/>
      <c r="U88" s="10"/>
      <c r="V88" s="10"/>
    </row>
    <row r="89" customFormat="false" ht="12.75" hidden="true" customHeight="false" outlineLevel="0" collapsed="false">
      <c r="Q89" s="10" t="s">
        <v>103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104</v>
      </c>
      <c r="R90" s="10"/>
      <c r="S90" s="267" t="n">
        <f aca="false">IF(ISERROR(SUM($T$23:$T$82)/SUM($U$23:$U$82)),"",(SUM($T$23:$T$82)-S88)/(SUM($U$23:$U$82)-S89))</f>
        <v>6.50980392156863</v>
      </c>
      <c r="T90" s="10"/>
    </row>
    <row r="91" customFormat="false" ht="12.75" hidden="false" customHeight="false" outlineLevel="0" collapsed="false">
      <c r="Q91" s="216" t="s">
        <v>105</v>
      </c>
      <c r="R91" s="216"/>
      <c r="S91" s="216" t="str">
        <f aca="false">INDEX('[1]liste reference'!$A$8:$A$904,$T$91)</f>
        <v>NUPLUT</v>
      </c>
      <c r="T91" s="10" t="n">
        <f aca="false">IF(ISERROR(MATCH($S$93,'[1]liste reference'!$A$8:$A$904,0)),MATCH($S$93,'[1]liste reference'!$B$8:$B$904,0),(MATCH($S$93,'[1]liste reference'!$A$8:$A$904,0)))</f>
        <v>389</v>
      </c>
      <c r="U91" s="256"/>
    </row>
    <row r="92" customFormat="false" ht="12.75" hidden="false" customHeight="false" outlineLevel="0" collapsed="false">
      <c r="Q92" s="10" t="s">
        <v>106</v>
      </c>
      <c r="R92" s="10"/>
      <c r="S92" s="10" t="n">
        <f aca="false">MATCH(S87,$S$23:$S$82,0)</f>
        <v>12</v>
      </c>
      <c r="T92" s="10"/>
    </row>
    <row r="93" customFormat="false" ht="12.75" hidden="false" customHeight="false" outlineLevel="0" collapsed="false">
      <c r="Q93" s="216" t="s">
        <v>107</v>
      </c>
      <c r="R93" s="10"/>
      <c r="S93" s="216" t="str">
        <f aca="false">INDEX($A$23:$A$82,$S$92)</f>
        <v>NUPLUT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2014-01-21T17:00:58Z</dcterms:created>
  <dc:creator>Laurent Bourgoin</dc:creator>
  <dc:description/>
  <dc:language>fr-FR</dc:language>
  <cp:lastModifiedBy>Laurent Bourgoin</cp:lastModifiedBy>
  <dcterms:modified xsi:type="dcterms:W3CDTF">2014-01-21T17:01:01Z</dcterms:modified>
  <cp:revision>0</cp:revision>
  <dc:subject/>
  <dc:title/>
</cp:coreProperties>
</file>