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<sst xmlns="http://schemas.openxmlformats.org/spreadsheetml/2006/main" count="93" uniqueCount="90">
  <si>
    <t xml:space="preserve">Relevés floristiques aquatiques - IBMR</t>
  </si>
  <si>
    <t xml:space="preserve">Formulaire modèle GIS Macrophytes v_2.6 - février 2012</t>
  </si>
  <si>
    <t xml:space="preserve">SAGE</t>
  </si>
  <si>
    <t xml:space="preserve">BOURGOIN RENAHY</t>
  </si>
  <si>
    <t xml:space="preserve">conforme AFNOR T90-395 oct. 2003</t>
  </si>
  <si>
    <t xml:space="preserve">Azergues</t>
  </si>
  <si>
    <t xml:space="preserve">Azergues à Lucenay</t>
  </si>
  <si>
    <t xml:space="preserve">06057700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</si>
  <si>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</si>
  <si>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</si>
  <si>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</si>
  <si>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</si>
  <si>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</si>
  <si>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</si>
  <si>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</si>
  <si>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</si>
  <si>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</si>
  <si>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</si>
  <si>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</si>
  <si>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</si>
  <si>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fort</t>
  </si>
  <si>
    <t xml:space="preserve">(très élevé)</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</si>
  <si>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</si>
  <si>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</si>
  <si>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</si>
  <si>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</si>
  <si>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</si>
  <si>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</si>
  <si>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</si>
  <si>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</si>
  <si>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</si>
  <si>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</si>
  <si>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</si>
  <si>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</si>
  <si>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</si>
  <si>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</si>
  <si>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</si>
  <si>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</si>
  <si>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</si>
  <si>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</si>
  <si>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</si>
  <si>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</si>
  <si>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</si>
  <si>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</si>
  <si>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</si>
  <si>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</si>
  <si>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</si>
  <si>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</si>
  <si>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</si>
  <si>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</si>
  <si>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</si>
  <si>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</si>
  <si>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</si>
  <si>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</si>
  <si>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</si>
  <si>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</si>
  <si>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</si>
  <si>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</si>
  <si>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</si>
  <si>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</si>
  <si>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</si>
  <si>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</si>
  <si>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</si>
  <si>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</si>
  <si>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</si>
  <si>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</si>
  <si>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</si>
  <si>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</si>
  <si>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</si>
  <si>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</si>
  <si>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</si>
  <si>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</si>
  <si>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</si>
  <si>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</si>
  <si>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</si>
  <si>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</si>
  <si>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</si>
  <si>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PHOSPX</t>
  </si>
  <si>
    <t xml:space="preserve">AMBRIP</t>
  </si>
  <si>
    <t xml:space="preserve">OCTFON</t>
  </si>
  <si>
    <t xml:space="preserve">PHAARU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</si>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</sst>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7" borderId="24" xfId="0" applyFont="true" applyBorder="true" applyAlignment="true" applyProtection="true">
      <alignment horizontal="left" vertical="top" textRotation="0" wrapText="false" indent="0" shrinkToFit="false"/>
      <protection locked="true" hidden="true"/>
    </xf>
    <xf numFmtId="167" fontId="30" fillId="1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7"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AZLUC_27-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41087</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9.13333333333333</v>
      </c>
      <c r="M5" s="53"/>
      <c r="N5" s="54"/>
      <c r="O5" s="55" t="n">
        <v>6.55555555555556</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95</v>
      </c>
      <c r="C7" s="67" t="n">
        <v>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8.2</v>
      </c>
      <c r="O8" s="83" t="n">
        <f aca="false">AVERAGE(J23:J82)</f>
        <v>1.8</v>
      </c>
      <c r="P8" s="84"/>
      <c r="Q8" s="10"/>
      <c r="R8" s="10"/>
      <c r="S8" s="10"/>
      <c r="T8" s="10"/>
      <c r="U8" s="10"/>
      <c r="V8" s="10"/>
      <c r="W8" s="22"/>
      <c r="X8" s="23"/>
    </row>
    <row r="9" customFormat="false" ht="13.5" hidden="false" customHeight="false" outlineLevel="0" collapsed="false">
      <c r="A9" s="43" t="s">
        <v>28</v>
      </c>
      <c r="B9" s="85" t="n">
        <v>10.5</v>
      </c>
      <c r="C9" s="86" t="n">
        <v>0.53</v>
      </c>
      <c r="D9" s="87"/>
      <c r="E9" s="87"/>
      <c r="F9" s="88" t="n">
        <f aca="false">($B9*$B$7+$C9*$C$7)/100</f>
        <v>10.0015</v>
      </c>
      <c r="G9" s="89"/>
      <c r="H9" s="90"/>
      <c r="I9" s="91"/>
      <c r="J9" s="92"/>
      <c r="K9" s="73"/>
      <c r="L9" s="93"/>
      <c r="M9" s="82" t="s">
        <v>29</v>
      </c>
      <c r="N9" s="83" t="n">
        <f aca="false">STDEV(I23:I82)</f>
        <v>3.27108544675923</v>
      </c>
      <c r="O9" s="83" t="n">
        <f aca="false">STDEV(J23:J82)</f>
        <v>0.836660026534076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5</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13</v>
      </c>
      <c r="O11" s="105" t="n">
        <f aca="false">MAX(J23:J82)</f>
        <v>3</v>
      </c>
      <c r="P11" s="106"/>
      <c r="Q11" s="10"/>
      <c r="R11" s="10"/>
      <c r="S11" s="10"/>
      <c r="T11" s="10"/>
      <c r="U11" s="10"/>
      <c r="V11" s="10"/>
    </row>
    <row r="12" customFormat="false" ht="12.75" hidden="false" customHeight="false" outlineLevel="0" collapsed="false">
      <c r="A12" s="116" t="s">
        <v>36</v>
      </c>
      <c r="B12" s="117" t="n">
        <v>10.5</v>
      </c>
      <c r="C12" s="118" t="n">
        <v>0.5</v>
      </c>
      <c r="D12" s="110"/>
      <c r="E12" s="110"/>
      <c r="F12" s="111" t="n">
        <f aca="false">($B12*$B$7+$C12*$C$7)/100</f>
        <v>10</v>
      </c>
      <c r="G12" s="119"/>
      <c r="H12" s="68"/>
      <c r="I12" s="120" t="s">
        <v>37</v>
      </c>
      <c r="J12" s="120"/>
      <c r="K12" s="114" t="n">
        <f aca="false">COUNTIF($G$23:$G$82,"=ALG")</f>
        <v>2</v>
      </c>
      <c r="L12" s="121"/>
      <c r="M12" s="122"/>
      <c r="N12" s="123" t="s">
        <v>31</v>
      </c>
      <c r="O12" s="124"/>
      <c r="P12" s="125"/>
      <c r="Q12" s="10"/>
      <c r="R12" s="10"/>
      <c r="S12" s="10"/>
      <c r="T12" s="10"/>
      <c r="U12" s="10"/>
      <c r="V12" s="10"/>
    </row>
    <row r="13" customFormat="false" ht="12.75" hidden="false" customHeight="false" outlineLevel="0" collapsed="false">
      <c r="A13" s="116" t="s">
        <v>38</v>
      </c>
      <c r="B13" s="117"/>
      <c r="C13" s="118" t="n">
        <v>0.02</v>
      </c>
      <c r="D13" s="110"/>
      <c r="E13" s="110"/>
      <c r="F13" s="111" t="n">
        <f aca="false">($B13*$B$7+$C13*$C$7)/100</f>
        <v>0.001</v>
      </c>
      <c r="G13" s="119"/>
      <c r="H13" s="68"/>
      <c r="I13" s="120" t="s">
        <v>39</v>
      </c>
      <c r="J13" s="120"/>
      <c r="K13" s="114" t="n">
        <f aca="false">COUNTIF($G$23:$G$82,"=BRm")+COUNTIF($G$23:$G$82,"=BRh")</f>
        <v>2</v>
      </c>
      <c r="L13" s="115"/>
      <c r="M13" s="126" t="s">
        <v>40</v>
      </c>
      <c r="N13" s="127" t="n">
        <f aca="false">COUNTIF(F23:F82,"&gt;0")</f>
        <v>5</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5</v>
      </c>
      <c r="O14" s="132"/>
      <c r="P14" s="129"/>
      <c r="Q14" s="10"/>
      <c r="R14" s="10"/>
      <c r="S14" s="10"/>
      <c r="T14" s="10"/>
      <c r="U14" s="10"/>
      <c r="V14" s="10"/>
    </row>
    <row r="15" customFormat="false" ht="12.75" hidden="false" customHeight="false" outlineLevel="0" collapsed="false">
      <c r="A15" s="133" t="s">
        <v>44</v>
      </c>
      <c r="B15" s="134"/>
      <c r="C15" s="135" t="n">
        <v>0.01</v>
      </c>
      <c r="D15" s="110"/>
      <c r="E15" s="110"/>
      <c r="F15" s="111" t="n">
        <f aca="false">($B15*$B$7+$C15*$C$7)/100</f>
        <v>0.0005</v>
      </c>
      <c r="G15" s="119"/>
      <c r="H15" s="68"/>
      <c r="I15" s="120" t="s">
        <v>45</v>
      </c>
      <c r="J15" s="120"/>
      <c r="K15" s="114" t="n">
        <f aca="false">(COUNTIF($G$23:$G$82,"=PHy"))+(COUNTIF($G$23:$G$82,"=PHe"))+(COUNTIF($G$23:$G$82,"=PHg"))+(COUNTIF($G$23:$G$82,"=PHx"))</f>
        <v>1</v>
      </c>
      <c r="L15" s="115"/>
      <c r="M15" s="136" t="s">
        <v>46</v>
      </c>
      <c r="N15" s="137" t="n">
        <f aca="false">COUNTIF(J23:J82,"=1")</f>
        <v>2</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2</v>
      </c>
      <c r="O16" s="138"/>
      <c r="P16" s="129"/>
      <c r="Q16" s="10"/>
      <c r="R16" s="10"/>
      <c r="S16" s="10"/>
      <c r="T16" s="10"/>
      <c r="U16" s="10"/>
      <c r="V16" s="10"/>
    </row>
    <row r="17" customFormat="false" ht="12.75" hidden="false" customHeight="false" outlineLevel="0" collapsed="false">
      <c r="A17" s="116" t="s">
        <v>49</v>
      </c>
      <c r="B17" s="117" t="n">
        <v>10.5</v>
      </c>
      <c r="C17" s="118" t="n">
        <v>0.52</v>
      </c>
      <c r="D17" s="110"/>
      <c r="E17" s="110"/>
      <c r="F17" s="142"/>
      <c r="G17" s="111" t="n">
        <f aca="false">($B17*$B$7+$C17*$C$7)/100</f>
        <v>10.001</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t="n">
        <v>0.01</v>
      </c>
      <c r="D18" s="110"/>
      <c r="E18" s="146" t="s">
        <v>52</v>
      </c>
      <c r="F18" s="142"/>
      <c r="G18" s="111" t="n">
        <f aca="false">($B18*$B$7+$C18*$C$7)/100</f>
        <v>0.0005</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10.0015</v>
      </c>
      <c r="G19" s="155" t="n">
        <f aca="false">SUM(G16:G18)</f>
        <v>10.0015</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10.5</v>
      </c>
      <c r="C20" s="165" t="n">
        <f aca="false">SUM(C23:C82)</f>
        <v>0.53</v>
      </c>
      <c r="D20" s="166"/>
      <c r="E20" s="167" t="s">
        <v>52</v>
      </c>
      <c r="F20" s="168" t="n">
        <f aca="false">($B20*$B$7+$C20*$C$7)/100</f>
        <v>10.0015</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9.975</v>
      </c>
      <c r="C21" s="178" t="n">
        <f aca="false">C20*C7/100</f>
        <v>0.0265</v>
      </c>
      <c r="D21" s="110" t="str">
        <f aca="false">IF(F21=0,"",IF((ABS(F21-F19))&gt;(0.2*F21),CONCATENATE(" rec. par taxa (",F21," %) supérieur à 20 % !"),""))</f>
        <v/>
      </c>
      <c r="E21" s="179" t="str">
        <f aca="false">IF(F21=0,"",IF((ABS(F21-F19))&gt;(0.2*F21),CONCATENATE("ATTENTION : écart entre rec. par grp (",F19," %) ","et",""),""))</f>
        <v/>
      </c>
      <c r="F21" s="180" t="n">
        <f aca="false">B21+C21</f>
        <v>10.0015</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9</v>
      </c>
      <c r="C23" s="205" t="n">
        <v>0.45</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8.5725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8.5725</v>
      </c>
      <c r="R23" s="216" t="n">
        <f aca="false">IF(OR(ISTEXT(H23),Q23=0),"",IF(Q23&lt;0.1,1,IF(Q23&lt;1,2,IF(Q23&lt;10,3,IF(Q23&lt;50,4,IF(Q23&gt;=50,5,""))))))</f>
        <v>3</v>
      </c>
      <c r="S23" s="216" t="n">
        <f aca="false">IF(ISERROR(R23*I23),0,R23*I23)</f>
        <v>18</v>
      </c>
      <c r="T23" s="216" t="n">
        <f aca="false">IF(ISERROR(R23*I23*J23),0,R23*I23*J23)</f>
        <v>18</v>
      </c>
      <c r="U23" s="216" t="n">
        <f aca="false">IF(ISERROR(R23*J23),0,R23*J23)</f>
        <v>3</v>
      </c>
      <c r="V23" s="217" t="n">
        <v>3</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1.5</v>
      </c>
      <c r="C24" s="224" t="n">
        <v>0.05</v>
      </c>
      <c r="D24" s="225" t="str">
        <f aca="false">IF(ISERROR(VLOOKUP($A24,'[1]liste reference'!$A$7:$D$892,2,0)),IF(ISERROR(VLOOKUP($A24,'[1]liste reference'!$B$7:$D$892,1,0)),"",VLOOKUP($A24,'[1]liste reference'!$B$7:$D$892,1,0)),VLOOKUP($A24,'[1]liste reference'!$A$7:$D$892,2,0))</f>
        <v>Phormidium sp.</v>
      </c>
      <c r="E24" s="225" t="e">
        <f aca="false">IF(D24="",0,VLOOKUP(D24,D$22:D23,1,0))</f>
        <v>#N/A</v>
      </c>
      <c r="F24" s="226" t="n">
        <f aca="false">($B24*$B$7+$C24*$C$7)/100</f>
        <v>1.4275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13</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Phormidium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6414</v>
      </c>
      <c r="Q24" s="215" t="n">
        <f aca="false">IF(ISTEXT(H24),"",(B24*$B$7/100)+(C24*$C$7/100))</f>
        <v>1.4275</v>
      </c>
      <c r="R24" s="216" t="n">
        <f aca="false">IF(OR(ISTEXT(H24),Q24=0),"",IF(Q24&lt;0.1,1,IF(Q24&lt;1,2,IF(Q24&lt;10,3,IF(Q24&lt;50,4,IF(Q24&gt;=50,5,""))))))</f>
        <v>3</v>
      </c>
      <c r="S24" s="216" t="n">
        <f aca="false">IF(ISERROR(R24*I24),0,R24*I24)</f>
        <v>39</v>
      </c>
      <c r="T24" s="216" t="n">
        <f aca="false">IF(ISERROR(R24*I24*J24),0,R24*I24*J24)</f>
        <v>78</v>
      </c>
      <c r="U24" s="230" t="n">
        <f aca="false">IF(ISERROR(R24*J24),0,R24*J24)</f>
        <v>6</v>
      </c>
      <c r="V24" s="217" t="n">
        <v>6</v>
      </c>
      <c r="W24" s="231"/>
      <c r="Y24" s="219" t="str">
        <f aca="false">IF(A24="new.cod","NEWCOD",IF(AND((Z24=""),ISTEXT(A24)),A24,IF(Z24="","",INDEX('[1]liste reference'!$A$7:$A$892,Z24))))</f>
        <v>PHOSPX</v>
      </c>
      <c r="Z24" s="10" t="n">
        <f aca="false">IF(ISERROR(MATCH(A24,'[1]liste reference'!$A$7:$A$892,0)),IF(ISERROR(MATCH(A24,'[1]liste reference'!$B$7:$B$892,0)),"",(MATCH(A24,'[1]liste reference'!$B$7:$B$892,0))),(MATCH(A24,'[1]liste reference'!$A$7:$A$892,0)))</f>
        <v>570</v>
      </c>
      <c r="AA24" s="220"/>
      <c r="AB24" s="221"/>
      <c r="AC24" s="221"/>
      <c r="BC24" s="10" t="n">
        <f aca="false">IF(A24="","",1)</f>
        <v>1</v>
      </c>
    </row>
    <row r="25" customFormat="false" ht="12.75" hidden="false" customHeight="false" outlineLevel="0" collapsed="false">
      <c r="A25" s="222" t="s">
        <v>78</v>
      </c>
      <c r="B25" s="223" t="n">
        <v>0</v>
      </c>
      <c r="C25" s="224" t="n">
        <v>0.01</v>
      </c>
      <c r="D25" s="225" t="str">
        <f aca="false">IF(ISERROR(VLOOKUP($A25,'[1]liste reference'!$A$7:$D$892,2,0)),IF(ISERROR(VLOOKUP($A25,'[1]liste reference'!$B$7:$D$892,1,0)),"",VLOOKUP($A25,'[1]liste reference'!$B$7:$D$892,1,0)),VLOOKUP($A25,'[1]liste reference'!$A$7:$D$892,2,0))</f>
        <v>Amblystegium riparium</v>
      </c>
      <c r="E25" s="225" t="e">
        <f aca="false">IF(D25="",0,VLOOKUP(D25,D$22:D24,1,0))</f>
        <v>#N/A</v>
      </c>
      <c r="F25" s="226" t="n">
        <f aca="false">($B25*$B$7+$C25*$C$7)/100</f>
        <v>0.0005</v>
      </c>
      <c r="G25" s="227" t="str">
        <f aca="false">IF(A25="","",IF(ISERROR(VLOOKUP($A25,'[1]liste reference'!$A$7:$P$892,13,0)),IF(ISERROR(VLOOKUP($A25,'[1]liste reference'!$B$7:$P$892,12,0)),"    -",VLOOKUP($A25,'[1]liste reference'!$B$7:$P$892,12,0)),VLOOKUP($A25,'[1]liste reference'!$A$7:$P$892,13,0)))</f>
        <v>BRm</v>
      </c>
      <c r="H25" s="209" t="n">
        <f aca="false">IF(A25="","x",IF(ISERROR(VLOOKUP($A25,'[1]liste reference'!$A$7:$P$892,14,0)),IF(ISERROR(VLOOKUP($A25,'[1]liste reference'!$B$7:$P$892,13,0)),"x",VLOOKUP($A25,'[1]liste reference'!$B$7:$P$892,13,0)),VLOOKUP($A25,'[1]liste reference'!$A$7:$P$892,14,0)))</f>
        <v>5</v>
      </c>
      <c r="I25" s="228" t="n">
        <f aca="false">IF(ISNUMBER(H25),IF(ISERROR(VLOOKUP($A25,'[1]liste reference'!$A$7:$P$892,3,0)),IF(ISERROR(VLOOKUP($A25,'[1]liste reference'!$B$7:$P$892,2,0)),"",VLOOKUP($A25,'[1]liste reference'!$B$7:$P$892,2,0)),VLOOKUP($A25,'[1]liste reference'!$A$7:$P$892,3,0)),"")</f>
        <v>5</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Amblystegium riparium</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1219</v>
      </c>
      <c r="Q25" s="215" t="n">
        <f aca="false">IF(ISTEXT(H25),"",(B25*$B$7/100)+(C25*$C$7/100))</f>
        <v>0.0005</v>
      </c>
      <c r="R25" s="216" t="n">
        <f aca="false">IF(OR(ISTEXT(H25),Q25=0),"",IF(Q25&lt;0.1,1,IF(Q25&lt;1,2,IF(Q25&lt;10,3,IF(Q25&lt;50,4,IF(Q25&gt;=50,5,""))))))</f>
        <v>1</v>
      </c>
      <c r="S25" s="216" t="n">
        <f aca="false">IF(ISERROR(R25*I25),0,R25*I25)</f>
        <v>5</v>
      </c>
      <c r="T25" s="216" t="n">
        <f aca="false">IF(ISERROR(R25*I25*J25),0,R25*I25*J25)</f>
        <v>10</v>
      </c>
      <c r="U25" s="230" t="n">
        <f aca="false">IF(ISERROR(R25*J25),0,R25*J25)</f>
        <v>2</v>
      </c>
      <c r="V25" s="217" t="n">
        <v>2</v>
      </c>
      <c r="W25" s="218"/>
      <c r="Y25" s="219" t="str">
        <f aca="false">IF(A25="new.cod","NEWCOD",IF(AND((Z25=""),ISTEXT(A25)),A25,IF(Z25="","",INDEX('[1]liste reference'!$A$7:$A$892,Z25))))</f>
        <v>AMBRIP</v>
      </c>
      <c r="Z25" s="10" t="n">
        <f aca="false">IF(ISERROR(MATCH(A25,'[1]liste reference'!$A$7:$A$892,0)),IF(ISERROR(MATCH(A25,'[1]liste reference'!$B$7:$B$892,0)),"",(MATCH(A25,'[1]liste reference'!$B$7:$B$892,0))),(MATCH(A25,'[1]liste reference'!$A$7:$A$892,0)))</f>
        <v>24</v>
      </c>
      <c r="AA25" s="220"/>
      <c r="AB25" s="221"/>
      <c r="AC25" s="221"/>
      <c r="BC25" s="10" t="n">
        <f aca="false">IF(A25="","",1)</f>
        <v>1</v>
      </c>
    </row>
    <row r="26" customFormat="false" ht="12.75" hidden="false" customHeight="false" outlineLevel="0" collapsed="false">
      <c r="A26" s="222" t="s">
        <v>79</v>
      </c>
      <c r="B26" s="223" t="n">
        <v>0</v>
      </c>
      <c r="C26" s="224" t="n">
        <v>0.01</v>
      </c>
      <c r="D26" s="225" t="str">
        <f aca="false">IF(ISERROR(VLOOKUP($A26,'[1]liste reference'!$A$7:$D$892,2,0)),IF(ISERROR(VLOOKUP($A26,'[1]liste reference'!$B$7:$D$892,1,0)),"",VLOOKUP($A26,'[1]liste reference'!$B$7:$D$892,1,0)),VLOOKUP($A26,'[1]liste reference'!$A$7:$D$892,2,0))</f>
        <v>Octodiceras fontanum</v>
      </c>
      <c r="E26" s="225" t="e">
        <f aca="false">IF(D26="",0,VLOOKUP(D26,D$22:D25,1,0))</f>
        <v>#N/A</v>
      </c>
      <c r="F26" s="226" t="n">
        <f aca="false">($B26*$B$7+$C26*$C$7)/100</f>
        <v>0.0005</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7</v>
      </c>
      <c r="J26" s="211" t="n">
        <f aca="false">IF(ISNUMBER(H26),IF(ISERROR(VLOOKUP($A26,'[1]liste reference'!$A$7:$P$892,4,0)),IF(ISERROR(VLOOKUP($A26,'[1]liste reference'!$B$7:$P$892,3,0)),"",VLOOKUP($A26,'[1]liste reference'!$B$7:$P$892,3,0)),VLOOKUP($A26,'[1]liste reference'!$A$7:$P$892,4,0)),"")</f>
        <v>3</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Octodiceras fontanum</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133</v>
      </c>
      <c r="Q26" s="215" t="n">
        <f aca="false">IF(ISTEXT(H26),"",(B26*$B$7/100)+(C26*$C$7/100))</f>
        <v>0.0005</v>
      </c>
      <c r="R26" s="216" t="n">
        <f aca="false">IF(OR(ISTEXT(H26),Q26=0),"",IF(Q26&lt;0.1,1,IF(Q26&lt;1,2,IF(Q26&lt;10,3,IF(Q26&lt;50,4,IF(Q26&gt;=50,5,""))))))</f>
        <v>1</v>
      </c>
      <c r="S26" s="216" t="n">
        <f aca="false">IF(ISERROR(R26*I26),0,R26*I26)</f>
        <v>7</v>
      </c>
      <c r="T26" s="216" t="n">
        <f aca="false">IF(ISERROR(R26*I26*J26),0,R26*I26*J26)</f>
        <v>21</v>
      </c>
      <c r="U26" s="230" t="n">
        <f aca="false">IF(ISERROR(R26*J26),0,R26*J26)</f>
        <v>3</v>
      </c>
      <c r="V26" s="217" t="n">
        <v>3</v>
      </c>
      <c r="W26" s="218"/>
      <c r="Y26" s="219" t="str">
        <f aca="false">IF(A26="new.cod","NEWCOD",IF(AND((Z26=""),ISTEXT(A26)),A26,IF(Z26="","",INDEX('[1]liste reference'!$A$7:$A$892,Z26))))</f>
        <v>OCTFON</v>
      </c>
      <c r="Z26" s="10" t="n">
        <f aca="false">IF(ISERROR(MATCH(A26,'[1]liste reference'!$A$7:$A$892,0)),IF(ISERROR(MATCH(A26,'[1]liste reference'!$B$7:$B$892,0)),"",(MATCH(A26,'[1]liste reference'!$B$7:$B$892,0))),(MATCH(A26,'[1]liste reference'!$A$7:$A$892,0)))</f>
        <v>541</v>
      </c>
      <c r="AA26" s="220"/>
      <c r="AB26" s="221"/>
      <c r="AC26" s="221"/>
      <c r="BC26" s="10" t="n">
        <f aca="false">IF(A26="","",1)</f>
        <v>1</v>
      </c>
    </row>
    <row r="27" customFormat="false" ht="12.75" hidden="false" customHeight="false" outlineLevel="0" collapsed="false">
      <c r="A27" s="222" t="s">
        <v>80</v>
      </c>
      <c r="B27" s="223" t="n">
        <v>0</v>
      </c>
      <c r="C27" s="224" t="n">
        <v>0.01</v>
      </c>
      <c r="D27" s="225" t="str">
        <f aca="false">IF(ISERROR(VLOOKUP($A27,'[1]liste reference'!$A$7:$D$892,2,0)),IF(ISERROR(VLOOKUP($A27,'[1]liste reference'!$B$7:$D$892,1,0)),"",VLOOKUP($A27,'[1]liste reference'!$B$7:$D$892,1,0)),VLOOKUP($A27,'[1]liste reference'!$A$7:$D$892,2,0))</f>
        <v>Phalaris arundinacea</v>
      </c>
      <c r="E27" s="225" t="e">
        <f aca="false">IF(D27="",0,VLOOKUP(D27,D$22:D26,1,0))</f>
        <v>#N/A</v>
      </c>
      <c r="F27" s="226" t="n">
        <f aca="false">($B27*$B$7+$C27*$C$7)/100</f>
        <v>0.0005</v>
      </c>
      <c r="G27" s="227" t="str">
        <f aca="false">IF(A27="","",IF(ISERROR(VLOOKUP($A27,'[1]liste reference'!$A$7:$P$892,13,0)),IF(ISERROR(VLOOKUP($A27,'[1]liste reference'!$B$7:$P$892,12,0)),"    -",VLOOKUP($A27,'[1]liste reference'!$B$7:$P$892,12,0)),VLOOKUP($A27,'[1]liste reference'!$A$7:$P$892,13,0)))</f>
        <v>PHe</v>
      </c>
      <c r="H27" s="209" t="n">
        <f aca="false">IF(A27="","x",IF(ISERROR(VLOOKUP($A27,'[1]liste reference'!$A$7:$P$892,14,0)),IF(ISERROR(VLOOKUP($A27,'[1]liste reference'!$B$7:$P$892,13,0)),"x",VLOOKUP($A27,'[1]liste reference'!$B$7:$P$892,13,0)),VLOOKUP($A27,'[1]liste reference'!$A$7:$P$892,14,0)))</f>
        <v>8</v>
      </c>
      <c r="I27" s="228" t="n">
        <f aca="false">IF(ISNUMBER(H27),IF(ISERROR(VLOOKUP($A27,'[1]liste reference'!$A$7:$P$892,3,0)),IF(ISERROR(VLOOKUP($A27,'[1]liste reference'!$B$7:$P$892,2,0)),"",VLOOKUP($A27,'[1]liste reference'!$B$7:$P$892,2,0)),VLOOKUP($A27,'[1]liste reference'!$A$7:$P$892,3,0)),"")</f>
        <v>10</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Phalaris arundinacea</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1577</v>
      </c>
      <c r="Q27" s="215" t="n">
        <f aca="false">IF(ISTEXT(H27),"",(B27*$B$7/100)+(C27*$C$7/100))</f>
        <v>0.0005</v>
      </c>
      <c r="R27" s="216" t="n">
        <f aca="false">IF(OR(ISTEXT(H27),Q27=0),"",IF(Q27&lt;0.1,1,IF(Q27&lt;1,2,IF(Q27&lt;10,3,IF(Q27&lt;50,4,IF(Q27&gt;=50,5,""))))))</f>
        <v>1</v>
      </c>
      <c r="S27" s="216" t="n">
        <f aca="false">IF(ISERROR(R27*I27),0,R27*I27)</f>
        <v>10</v>
      </c>
      <c r="T27" s="216" t="n">
        <f aca="false">IF(ISERROR(R27*I27*J27),0,R27*I27*J27)</f>
        <v>10</v>
      </c>
      <c r="U27" s="230" t="n">
        <f aca="false">IF(ISERROR(R27*J27),0,R27*J27)</f>
        <v>1</v>
      </c>
      <c r="V27" s="217" t="n">
        <v>1</v>
      </c>
      <c r="W27" s="218"/>
      <c r="Y27" s="219" t="str">
        <f aca="false">IF(A27="new.cod","NEWCOD",IF(AND((Z27=""),ISTEXT(A27)),A27,IF(Z27="","",INDEX('[1]liste reference'!$A$7:$A$892,Z27))))</f>
        <v>PHAARU</v>
      </c>
      <c r="Z27" s="10" t="n">
        <f aca="false">IF(ISERROR(MATCH(A27,'[1]liste reference'!$A$7:$A$892,0)),IF(ISERROR(MATCH(A27,'[1]liste reference'!$B$7:$B$892,0)),"",(MATCH(A27,'[1]liste reference'!$B$7:$B$892,0))),(MATCH(A27,'[1]liste reference'!$A$7:$A$892,0)))</f>
        <v>565</v>
      </c>
      <c r="AA27" s="220"/>
      <c r="AB27" s="221"/>
      <c r="AC27" s="221"/>
      <c r="BC27" s="10" t="n">
        <f aca="false">IF(A27="","",1)</f>
        <v>1</v>
      </c>
    </row>
    <row r="28" customFormat="false" ht="12.75" hidden="false" customHeight="false" outlineLevel="0" collapsed="false">
      <c r="A28" s="222"/>
      <c r="B28" s="223"/>
      <c r="C28" s="224"/>
      <c r="D28" s="225" t="str">
        <f aca="false">IF(ISERROR(VLOOKUP($A28,'[1]liste reference'!$A$7:$D$892,2,0)),IF(ISERROR(VLOOKUP($A28,'[1]liste reference'!$B$7:$D$892,1,0)),"",VLOOKUP($A28,'[1]liste reference'!$B$7:$D$892,1,0)),VLOOKUP($A28,'[1]liste reference'!$A$7:$D$892,2,0))</f>
        <v/>
      </c>
      <c r="E28" s="225" t="n">
        <f aca="false">IF(D28="",0,VLOOKUP(D28,D$22:D27,1,0))</f>
        <v>0</v>
      </c>
      <c r="F28" s="226" t="n">
        <f aca="false">($B28*$B$7+$C28*$C$7)/100</f>
        <v>0</v>
      </c>
      <c r="G28" s="227" t="str">
        <f aca="false">IF(A28="","",IF(ISERROR(VLOOKUP($A28,'[1]liste reference'!$A$7:$P$892,13,0)),IF(ISERROR(VLOOKUP($A28,'[1]liste reference'!$B$7:$P$892,12,0)),"    -",VLOOKUP($A28,'[1]liste reference'!$B$7:$P$892,12,0)),VLOOKUP($A28,'[1]liste reference'!$A$7:$P$892,13,0)))</f>
        <v/>
      </c>
      <c r="H28" s="209" t="str">
        <f aca="false">IF(A28="","x",IF(ISERROR(VLOOKUP($A28,'[1]liste reference'!$A$7:$P$892,14,0)),IF(ISERROR(VLOOKUP($A28,'[1]liste reference'!$B$7:$P$892,13,0)),"x",VLOOKUP($A28,'[1]liste reference'!$B$7:$P$892,13,0)),VLOOKUP($A28,'[1]liste reference'!$A$7:$P$892,14,0)))</f>
        <v>x</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
      </c>
      <c r="L28" s="229"/>
      <c r="M28" s="229"/>
      <c r="N28" s="229"/>
      <c r="O28" s="214" t="str">
        <f aca="false">IF(AA28="Cf.","Cf.","")</f>
        <v/>
      </c>
      <c r="P28" s="214" t="str">
        <f aca="false">IF($A28="NEWCOD",IF($AC28="","No",$AC28),IF(ISTEXT($E28),"DEJA SAISI !",IF($A28="","",IF(ISERROR(VLOOKUP($A28,'[1]liste reference'!A$1:S$1048576,19,FALSE())),IF(ISERROR(VLOOKUP($A28,'[1]liste reference'!B$1:S$1048576,19,FALSE())),"",VLOOKUP($A28,'[1]liste reference'!B$1:S$1048576,19,FALSE())),VLOOKUP($A28,'[1]liste reference'!A$1:S$1048576,19,FALSE())))))</f>
        <v/>
      </c>
      <c r="Q28" s="215" t="str">
        <f aca="false">IF(ISTEXT(H28),"",(B28*$B$7/100)+(C28*$C$7/100))</f>
        <v/>
      </c>
      <c r="R28" s="216" t="str">
        <f aca="false">IF(OR(ISTEXT(H28),Q28=0),"",IF(Q28&lt;0.1,1,IF(Q28&lt;1,2,IF(Q28&lt;10,3,IF(Q28&lt;50,4,IF(Q28&gt;=50,5,""))))))</f>
        <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
      </c>
      <c r="Z28" s="10" t="str">
        <f aca="false">IF(ISERROR(MATCH(A28,'[1]liste reference'!$A$7:$A$892,0)),IF(ISERROR(MATCH(A28,'[1]liste reference'!$B$7:$B$892,0)),"",(MATCH(A28,'[1]liste reference'!$B$7:$B$892,0))),(MATCH(A28,'[1]liste reference'!$A$7:$A$892,0)))</f>
        <v/>
      </c>
      <c r="AA28" s="220"/>
      <c r="AB28" s="221"/>
      <c r="AC28" s="221"/>
      <c r="BC28" s="10" t="str">
        <f aca="false">IF(A28="","",1)</f>
        <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81</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Azergues</v>
      </c>
      <c r="B84" s="253" t="str">
        <f aca="false">C3</f>
        <v>Azergues à Lucenay</v>
      </c>
      <c r="C84" s="254" t="n">
        <f aca="false">A4</f>
        <v>41087</v>
      </c>
      <c r="D84" s="255" t="n">
        <f aca="false">IF(ISERROR(SUM($T$23:$T$82)/SUM($U$23:$U$82)),"",SUM($T$23:$T$82)/SUM($U$23:$U$82))</f>
        <v>9.13333333333333</v>
      </c>
      <c r="E84" s="256" t="n">
        <f aca="false">N13</f>
        <v>5</v>
      </c>
      <c r="F84" s="253" t="n">
        <f aca="false">N14</f>
        <v>5</v>
      </c>
      <c r="G84" s="253" t="n">
        <f aca="false">N15</f>
        <v>2</v>
      </c>
      <c r="H84" s="253" t="n">
        <f aca="false">N16</f>
        <v>2</v>
      </c>
      <c r="I84" s="253" t="n">
        <f aca="false">N17</f>
        <v>1</v>
      </c>
      <c r="J84" s="257" t="n">
        <f aca="false">N8</f>
        <v>8.2</v>
      </c>
      <c r="K84" s="255" t="n">
        <f aca="false">N9</f>
        <v>3.27108544675923</v>
      </c>
      <c r="L84" s="256" t="n">
        <f aca="false">N10</f>
        <v>5</v>
      </c>
      <c r="M84" s="256" t="n">
        <f aca="false">N11</f>
        <v>13</v>
      </c>
      <c r="N84" s="255" t="n">
        <f aca="false">O8</f>
        <v>1.8</v>
      </c>
      <c r="O84" s="255" t="n">
        <f aca="false">O9</f>
        <v>0.836660026534076</v>
      </c>
      <c r="P84" s="256" t="n">
        <f aca="false">O10</f>
        <v>1</v>
      </c>
      <c r="Q84" s="256" t="n">
        <f aca="false">O11</f>
        <v>3</v>
      </c>
      <c r="R84" s="256" t="n">
        <f aca="false">F21</f>
        <v>10.0015</v>
      </c>
      <c r="S84" s="256" t="n">
        <f aca="false">K11</f>
        <v>0</v>
      </c>
      <c r="T84" s="256" t="n">
        <f aca="false">K12</f>
        <v>2</v>
      </c>
      <c r="U84" s="256" t="n">
        <f aca="false">K13</f>
        <v>2</v>
      </c>
      <c r="V84" s="258" t="n">
        <f aca="false">K14</f>
        <v>0</v>
      </c>
      <c r="W84" s="259" t="n">
        <f aca="false">K15</f>
        <v>1</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82</v>
      </c>
      <c r="R86" s="10"/>
      <c r="S86" s="217"/>
      <c r="T86" s="10"/>
      <c r="U86" s="10"/>
      <c r="V86" s="10"/>
    </row>
    <row r="87" customFormat="false" ht="12.75" hidden="true" customHeight="false" outlineLevel="0" collapsed="false">
      <c r="P87" s="10"/>
      <c r="Q87" s="10" t="s">
        <v>83</v>
      </c>
      <c r="R87" s="10"/>
      <c r="S87" s="217" t="n">
        <f aca="false">VLOOKUP(MAX($S$23:$S$82),($S$23:$U$82),1,0)</f>
        <v>39</v>
      </c>
      <c r="T87" s="10"/>
      <c r="U87" s="10"/>
      <c r="V87" s="10"/>
    </row>
    <row r="88" customFormat="false" ht="12.75" hidden="true" customHeight="false" outlineLevel="0" collapsed="false">
      <c r="P88" s="10"/>
      <c r="Q88" s="10" t="s">
        <v>84</v>
      </c>
      <c r="R88" s="10"/>
      <c r="S88" s="217" t="n">
        <f aca="false">VLOOKUP((S87),($S$23:$U$82),2,0)</f>
        <v>78</v>
      </c>
      <c r="T88" s="10"/>
      <c r="U88" s="10"/>
      <c r="V88" s="10"/>
    </row>
    <row r="89" customFormat="false" ht="12.75" hidden="false" customHeight="false" outlineLevel="0" collapsed="false">
      <c r="Q89" s="10" t="s">
        <v>85</v>
      </c>
      <c r="R89" s="10"/>
      <c r="S89" s="217" t="n">
        <f aca="false">VLOOKUP((S87),($S$23:$U$82),3,0)</f>
        <v>6</v>
      </c>
      <c r="T89" s="10"/>
    </row>
    <row r="90" customFormat="false" ht="12.75" hidden="false" customHeight="false" outlineLevel="0" collapsed="false">
      <c r="Q90" s="10" t="s">
        <v>86</v>
      </c>
      <c r="R90" s="10"/>
      <c r="S90" s="262" t="n">
        <f aca="false">IF(ISERROR(SUM($T$23:$T$82)/SUM($U$23:$U$82)),"",(SUM($T$23:$T$82)-S88)/(SUM($U$23:$U$82)-S89))</f>
        <v>6.55555555555556</v>
      </c>
      <c r="T90" s="10"/>
    </row>
    <row r="91" customFormat="false" ht="12.75" hidden="false" customHeight="false" outlineLevel="0" collapsed="false">
      <c r="Q91" s="216" t="s">
        <v>87</v>
      </c>
      <c r="R91" s="216"/>
      <c r="S91" s="216" t="str">
        <f aca="false">INDEX('[1]liste reference'!$A$7:$A$892,$T$91)</f>
        <v>PHOSPX</v>
      </c>
      <c r="T91" s="10" t="n">
        <f aca="false">IF(ISERROR(MATCH($S$93,'[1]liste reference'!$A$7:$A$892,0)),MATCH($S$93,'[1]liste reference'!$B$7:$B$892,0),(MATCH($S$93,'[1]liste reference'!$A$7:$A$892,0)))</f>
        <v>570</v>
      </c>
      <c r="U91" s="251"/>
    </row>
    <row r="92" customFormat="false" ht="12.75" hidden="false" customHeight="false" outlineLevel="0" collapsed="false">
      <c r="Q92" s="10" t="s">
        <v>88</v>
      </c>
      <c r="R92" s="10"/>
      <c r="S92" s="10" t="n">
        <f aca="false">MATCH(S87,$S$23:$S$82,0)</f>
        <v>2</v>
      </c>
      <c r="T92" s="10"/>
    </row>
    <row r="93" customFormat="false" ht="12.75" hidden="false" customHeight="false" outlineLevel="0" collapsed="false">
      <c r="Q93" s="216" t="s">
        <v>89</v>
      </c>
      <c r="R93" s="10"/>
      <c r="S93" s="216" t="str">
        <f aca="false">INDEX($A$23:$A$82,$S$92)</f>
        <v>PHOSPX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2012-12-17T13:31:38Z</dcterms:created>
  <dc:creator> </dc:creator>
  <dc:description/>
  <dc:language>fr-FR</dc:language>
  <cp:lastModifiedBy> </cp:lastModifiedBy>
  <dcterms:modified xsi:type="dcterms:W3CDTF">2012-12-17T13:31:40Z</dcterms:modified>
  <cp:revision>0</cp:revision>
  <dc:subject/>
  <dc:title/>
</cp:coreProperties>
</file>