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<sst xmlns="http://schemas.openxmlformats.org/spreadsheetml/2006/main" count="169" uniqueCount="105">
  <si>
    <t xml:space="preserve">Relevés floristiques aquatiques - IBMR</t>
  </si>
  <si>
    <t xml:space="preserve">modèle Irstea-GIS</t>
  </si>
  <si>
    <t xml:space="preserve">SAGE ENVIRONNEMENT</t>
  </si>
  <si>
    <t xml:space="preserve">RENAHY SIMON SCHNEIDER MARION</t>
  </si>
  <si>
    <t xml:space="preserve">SAONE</t>
  </si>
  <si>
    <t xml:space="preserve">SAONE A LYON</t>
  </si>
  <si>
    <t xml:space="preserve">06059500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</si>
  <si>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</si>
  <si>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</si>
  <si>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</si>
  <si>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</si>
  <si>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</si>
  <si>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</si>
  <si>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</si>
  <si>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</si>
  <si>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</si>
  <si>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POTNOD</t>
  </si>
  <si>
    <t xml:space="preserve">Faciès dominant</t>
  </si>
  <si>
    <t xml:space="preserve">pl. lent</t>
  </si>
  <si>
    <t xml:space="preserve">niveau trophique</t>
  </si>
  <si>
    <t xml:space="preserve">très élevé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</si>
  <si>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</si>
  <si>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</si>
  <si>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</si>
  <si>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</si>
  <si>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</si>
  <si>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</si>
  <si>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</si>
  <si>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</si>
  <si>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</si>
  <si>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</si>
  <si>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</si>
  <si>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</si>
  <si>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</si>
  <si>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</si>
  <si>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</si>
  <si>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</si>
  <si>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</si>
  <si>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</si>
  <si>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</si>
  <si>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</si>
  <si>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</si>
  <si>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</si>
  <si>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</si>
  <si>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</si>
  <si>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</si>
  <si>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</si>
  <si>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</si>
  <si>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</si>
  <si>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</si>
  <si>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</si>
  <si>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</si>
  <si>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</si>
  <si>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</si>
  <si>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</si>
  <si>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</si>
  <si>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</si>
  <si>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</si>
  <si>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</si>
  <si>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</si>
  <si>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</si>
  <si>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</si>
  <si>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</si>
  <si>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</si>
  <si>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</si>
  <si>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</si>
  <si>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</si>
  <si>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</si>
  <si>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</si>
  <si>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</si>
  <si>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</si>
  <si>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</si>
  <si>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</si>
  <si>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</si>
  <si>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</si>
  <si>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</si>
  <si>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</si>
  <si>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</si>
  <si>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</si>
  <si>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</si>
  <si>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</si>
  <si>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MELSPX</t>
  </si>
  <si>
    <t xml:space="preserve">MICSPX</t>
  </si>
  <si>
    <t xml:space="preserve">OEDSPX</t>
  </si>
  <si>
    <t xml:space="preserve">OSCSPX</t>
  </si>
  <si>
    <t xml:space="preserve">PHOSPX</t>
  </si>
  <si>
    <t xml:space="preserve">SPISPX</t>
  </si>
  <si>
    <t xml:space="preserve">VAUSPX</t>
  </si>
  <si>
    <t xml:space="preserve">FISFON</t>
  </si>
  <si>
    <t xml:space="preserve">CERDEM</t>
  </si>
  <si>
    <t xml:space="preserve">MYRSPI</t>
  </si>
  <si>
    <t xml:space="preserve">NAJMIN</t>
  </si>
  <si>
    <t xml:space="preserve">NUPLUT</t>
  </si>
  <si>
    <t xml:space="preserve">POTPEC</t>
  </si>
  <si>
    <t xml:space="preserve">POTPER</t>
  </si>
  <si>
    <t xml:space="preserve">VALSPI</t>
  </si>
  <si>
    <t xml:space="preserve">CARSPX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</si>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</sst>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ALYO_03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42251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7.47368421052632</v>
      </c>
      <c r="N5" s="51"/>
      <c r="O5" s="52" t="s">
        <v>16</v>
      </c>
      <c r="P5" s="53" t="n">
        <v>8.125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100</v>
      </c>
      <c r="C7" s="69"/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7.64705882352941</v>
      </c>
      <c r="P8" s="83" t="n">
        <f aca="false">IF(ISERROR(AVERAGE(K23:K82)),"  ",AVERAGE(K23:K82))</f>
        <v>1.82352941176471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38.2</v>
      </c>
      <c r="C9" s="86"/>
      <c r="D9" s="87"/>
      <c r="E9" s="87"/>
      <c r="F9" s="88" t="n">
        <f aca="false">($B9*$B$7+$C9*$C$7)/100</f>
        <v>38.2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2.94940026746392</v>
      </c>
      <c r="P9" s="83" t="n">
        <f aca="false">IF(ISERROR(STDEVP(K23:K82)),"  ",STDEVP(K23:K82))</f>
        <v>0.705882352941176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/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0.96</v>
      </c>
      <c r="C12" s="111"/>
      <c r="D12" s="87"/>
      <c r="E12" s="87"/>
      <c r="F12" s="104" t="n">
        <f aca="false">($B12*$B$7+$C12*$C$7)/100</f>
        <v>0.96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8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0.026</v>
      </c>
      <c r="C13" s="111"/>
      <c r="D13" s="87"/>
      <c r="E13" s="87"/>
      <c r="F13" s="104" t="n">
        <f aca="false">($B13*$B$7+$C13*$C$7)/100</f>
        <v>0.026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1</v>
      </c>
      <c r="M13" s="108"/>
      <c r="N13" s="116" t="s">
        <v>41</v>
      </c>
      <c r="O13" s="117" t="n">
        <f aca="false">COUNTIF(F23:F82,"&gt;0")</f>
        <v>18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37.2</v>
      </c>
      <c r="C15" s="124"/>
      <c r="D15" s="87"/>
      <c r="E15" s="87"/>
      <c r="F15" s="104" t="n">
        <f aca="false">($B15*$B$7+$C15*$C$7)/100</f>
        <v>37.2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9</v>
      </c>
      <c r="M15" s="108"/>
      <c r="N15" s="116" t="s">
        <v>47</v>
      </c>
      <c r="O15" s="117" t="n">
        <f aca="false">COUNTIF(K23:K82,"=1")</f>
        <v>6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 t="n">
        <v>37.198</v>
      </c>
      <c r="C16" s="103"/>
      <c r="D16" s="87"/>
      <c r="E16" s="87"/>
      <c r="F16" s="125"/>
      <c r="G16" s="126" t="n">
        <f aca="false">($B16*$B$7+$C16*$C$7)/100</f>
        <v>37.198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8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0.98</v>
      </c>
      <c r="C17" s="111"/>
      <c r="D17" s="87"/>
      <c r="E17" s="87"/>
      <c r="F17" s="129"/>
      <c r="G17" s="130" t="n">
        <f aca="false">($B17*$B$7+$C17*$C$7)/100</f>
        <v>0.98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0.944444444444444</v>
      </c>
      <c r="N17" s="116" t="s">
        <v>52</v>
      </c>
      <c r="O17" s="117" t="n">
        <f aca="false">COUNTIF(K23:K82,"=3")</f>
        <v>3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0.002</v>
      </c>
      <c r="C18" s="138"/>
      <c r="D18" s="87"/>
      <c r="E18" s="139" t="s">
        <v>54</v>
      </c>
      <c r="F18" s="129"/>
      <c r="G18" s="130" t="n">
        <f aca="false">($B18*$B$7+$C18*$C$7)/100</f>
        <v>0.002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38.186</v>
      </c>
      <c r="G19" s="150" t="n">
        <f aca="false">SUM(G16:G18)</f>
        <v>38.18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38.1967448275862</v>
      </c>
      <c r="C20" s="160" t="n">
        <f aca="false">SUM(C23:C62)</f>
        <v>0</v>
      </c>
      <c r="D20" s="161"/>
      <c r="E20" s="162" t="s">
        <v>54</v>
      </c>
      <c r="F20" s="163" t="n">
        <f aca="false">($B20*$B$7+$C20*$C$7)/100</f>
        <v>38.1967448275862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38.1967448275862</v>
      </c>
      <c r="C21" s="171" t="n">
        <f aca="false">C20*C7/100</f>
        <v>0</v>
      </c>
      <c r="D21" s="172" t="s">
        <v>57</v>
      </c>
      <c r="E21" s="173"/>
      <c r="F21" s="174" t="n">
        <f aca="false">B21+C21</f>
        <v>38.1967448275862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0.1196</v>
      </c>
      <c r="C23" s="200"/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0.1196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0.1196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0.0546</v>
      </c>
      <c r="C24" s="218"/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0.0546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0.0546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82</v>
      </c>
      <c r="B25" s="217" t="n">
        <v>0.13</v>
      </c>
      <c r="C25" s="218"/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Microspora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0.13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Microspora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1132</v>
      </c>
      <c r="R25" s="211" t="n">
        <f aca="false">IF(ISTEXT(H25),"",(B25*$B$7/100)+(C25*$C$7/100))</f>
        <v>0.13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24</v>
      </c>
      <c r="U25" s="212" t="n">
        <f aca="false">IF(ISERROR(S25*J25*K25),0,S25*J25*K25)</f>
        <v>48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MICSPX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66</v>
      </c>
    </row>
    <row r="26" customFormat="false" ht="12.75" hidden="false" customHeight="false" outlineLevel="0" collapsed="false">
      <c r="A26" s="216" t="s">
        <v>83</v>
      </c>
      <c r="B26" s="217" t="n">
        <v>0.0182</v>
      </c>
      <c r="C26" s="218"/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Oedogonium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0.0182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Oedogonium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1134</v>
      </c>
      <c r="R26" s="211" t="n">
        <f aca="false">IF(ISTEXT(H26),"",(B26*$B$7/100)+(C26*$C$7/100))</f>
        <v>0.0182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6</v>
      </c>
      <c r="U26" s="212" t="n">
        <f aca="false">IF(ISERROR(S26*J26*K26),0,S26*J26*K26)</f>
        <v>12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OEDSPX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85</v>
      </c>
    </row>
    <row r="27" customFormat="false" ht="12.75" hidden="false" customHeight="false" outlineLevel="0" collapsed="false">
      <c r="A27" s="216" t="s">
        <v>84</v>
      </c>
      <c r="B27" s="217" t="n">
        <v>0.0026</v>
      </c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Oscillatoria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0.0026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11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Oscillatoria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1108</v>
      </c>
      <c r="R27" s="211" t="n">
        <f aca="false">IF(ISTEXT(H27),"",(B27*$B$7/100)+(C27*$C$7/100))</f>
        <v>0.0026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11</v>
      </c>
      <c r="U27" s="212" t="n">
        <f aca="false">IF(ISERROR(S27*J27*K27),0,S27*J27*K27)</f>
        <v>11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OSCSPX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86</v>
      </c>
    </row>
    <row r="28" customFormat="false" ht="12.75" hidden="false" customHeight="false" outlineLevel="0" collapsed="false">
      <c r="A28" s="216" t="s">
        <v>85</v>
      </c>
      <c r="B28" s="217" t="n">
        <v>0.1612</v>
      </c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Phormidium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0.1612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Phormidium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6414</v>
      </c>
      <c r="R28" s="211" t="n">
        <f aca="false">IF(ISTEXT(H28),"",(B28*$B$7/100)+(C28*$C$7/100))</f>
        <v>0.1612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26</v>
      </c>
      <c r="U28" s="212" t="n">
        <f aca="false">IF(ISERROR(S28*J28*K28),0,S28*J28*K28)</f>
        <v>52</v>
      </c>
      <c r="V28" s="228" t="n">
        <f aca="false">IF(ISERROR(S28*K28),0,S28*K28)</f>
        <v>4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PHOSPX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88</v>
      </c>
    </row>
    <row r="29" customFormat="false" ht="12.75" hidden="false" customHeight="false" outlineLevel="0" collapsed="false">
      <c r="A29" s="216" t="s">
        <v>86</v>
      </c>
      <c r="B29" s="217" t="n">
        <v>0.475151724137931</v>
      </c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Spirogyra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0.475151724137931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Spirogyra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1147</v>
      </c>
      <c r="R29" s="211" t="n">
        <f aca="false">IF(ISTEXT(H29),"",(B29*$B$7/100)+(C29*$C$7/100))</f>
        <v>0.475151724137931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20</v>
      </c>
      <c r="U29" s="212" t="n">
        <f aca="false">IF(ISERROR(S29*J29*K29),0,S29*J29*K29)</f>
        <v>20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SPISPX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102</v>
      </c>
    </row>
    <row r="30" customFormat="false" ht="12.75" hidden="false" customHeight="false" outlineLevel="0" collapsed="false">
      <c r="A30" s="216" t="s">
        <v>87</v>
      </c>
      <c r="B30" s="217" t="n">
        <v>0.0026</v>
      </c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Vaucheria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0.0026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Vaucheria sp.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1169</v>
      </c>
      <c r="R30" s="211" t="n">
        <f aca="false">IF(ISTEXT(H30),"",(B30*$B$7/100)+(C30*$C$7/100))</f>
        <v>0.0026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4</v>
      </c>
      <c r="U30" s="212" t="n">
        <f aca="false">IF(ISERROR(S30*J30*K30),0,S30*J30*K30)</f>
        <v>4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VAUSPX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118</v>
      </c>
    </row>
    <row r="31" customFormat="false" ht="12.75" hidden="false" customHeight="false" outlineLevel="0" collapsed="false">
      <c r="A31" s="216" t="s">
        <v>88</v>
      </c>
      <c r="B31" s="217" t="n">
        <v>0.026</v>
      </c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Fissidens fontanus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0.026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7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3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Fissidens fontanus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31545</v>
      </c>
      <c r="R31" s="211" t="n">
        <f aca="false">IF(ISTEXT(H31),"",(B31*$B$7/100)+(C31*$C$7/100))</f>
        <v>0.026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7</v>
      </c>
      <c r="U31" s="212" t="n">
        <f aca="false">IF(ISERROR(S31*J31*K31),0,S31*J31*K31)</f>
        <v>21</v>
      </c>
      <c r="V31" s="228" t="n">
        <f aca="false">IF(ISERROR(S31*K31),0,S31*K31)</f>
        <v>3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FISFON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259</v>
      </c>
    </row>
    <row r="32" customFormat="false" ht="12.75" hidden="false" customHeight="false" outlineLevel="0" collapsed="false">
      <c r="A32" s="216" t="s">
        <v>89</v>
      </c>
      <c r="B32" s="217" t="n">
        <v>0.0026</v>
      </c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Ceratophyllum demersum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0.0026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PHy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7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5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Ceratophyllum demersum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1717</v>
      </c>
      <c r="R32" s="211" t="n">
        <f aca="false">IF(ISTEXT(H32),"",(B32*$B$7/100)+(C32*$C$7/100))</f>
        <v>0.0026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5</v>
      </c>
      <c r="U32" s="212" t="n">
        <f aca="false">IF(ISERROR(S32*J32*K32),0,S32*J32*K32)</f>
        <v>10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CERDEM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445</v>
      </c>
    </row>
    <row r="33" customFormat="false" ht="12.75" hidden="false" customHeight="false" outlineLevel="0" collapsed="false">
      <c r="A33" s="216" t="s">
        <v>90</v>
      </c>
      <c r="B33" s="217" t="n">
        <v>16.8413793103448</v>
      </c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Myriophyllum spicatum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16.8413793103448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PHy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7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8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Myriophyllum spicatum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1778</v>
      </c>
      <c r="R33" s="211" t="n">
        <f aca="false">IF(ISTEXT(H33),"",(B33*$B$7/100)+(C33*$C$7/100))</f>
        <v>16.8413793103448</v>
      </c>
      <c r="S33" s="212" t="n">
        <f aca="false">IF(OR(ISTEXT(H33),R33=0),"",IF(R33&lt;0.1,1,IF(R33&lt;1,2,IF(R33&lt;10,3,IF(R33&lt;50,4,IF(R33&gt;=50,5,""))))))</f>
        <v>4</v>
      </c>
      <c r="T33" s="212" t="n">
        <f aca="false">IF(ISERROR(S33*J33),0,S33*J33)</f>
        <v>32</v>
      </c>
      <c r="U33" s="212" t="n">
        <f aca="false">IF(ISERROR(S33*J33*K33),0,S33*J33*K33)</f>
        <v>64</v>
      </c>
      <c r="V33" s="228" t="n">
        <f aca="false">IF(ISERROR(S33*K33),0,S33*K33)</f>
        <v>8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MYRSPI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486</v>
      </c>
    </row>
    <row r="34" customFormat="false" ht="12.75" hidden="false" customHeight="false" outlineLevel="0" collapsed="false">
      <c r="A34" s="216" t="s">
        <v>91</v>
      </c>
      <c r="B34" s="217" t="n">
        <v>0.382758620689655</v>
      </c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Najas minor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0.382758620689655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PHy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7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6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3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Najas minor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1836</v>
      </c>
      <c r="R34" s="211" t="n">
        <f aca="false">IF(ISTEXT(H34),"",(B34*$B$7/100)+(C34*$C$7/100))</f>
        <v>0.382758620689655</v>
      </c>
      <c r="S34" s="212" t="n">
        <f aca="false">IF(OR(ISTEXT(H34),R34=0),"",IF(R34&lt;0.1,1,IF(R34&lt;1,2,IF(R34&lt;10,3,IF(R34&lt;50,4,IF(R34&gt;=50,5,""))))))</f>
        <v>2</v>
      </c>
      <c r="T34" s="212" t="n">
        <f aca="false">IF(ISERROR(S34*J34),0,S34*J34)</f>
        <v>12</v>
      </c>
      <c r="U34" s="212" t="n">
        <f aca="false">IF(ISERROR(S34*J34*K34),0,S34*J34*K34)</f>
        <v>36</v>
      </c>
      <c r="V34" s="228" t="n">
        <f aca="false">IF(ISERROR(S34*K34),0,S34*K34)</f>
        <v>6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NAJMIN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493</v>
      </c>
    </row>
    <row r="35" customFormat="false" ht="12.75" hidden="false" customHeight="false" outlineLevel="0" collapsed="false">
      <c r="A35" s="216" t="s">
        <v>92</v>
      </c>
      <c r="B35" s="217" t="n">
        <v>16.7775862068966</v>
      </c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Nuphar lutea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16.7775862068966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PHy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7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9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1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Nuphar lutea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1839</v>
      </c>
      <c r="R35" s="211" t="n">
        <f aca="false">IF(ISTEXT(H35),"",(B35*$B$7/100)+(C35*$C$7/100))</f>
        <v>16.7775862068966</v>
      </c>
      <c r="S35" s="212" t="n">
        <f aca="false">IF(OR(ISTEXT(H35),R35=0),"",IF(R35&lt;0.1,1,IF(R35&lt;1,2,IF(R35&lt;10,3,IF(R35&lt;50,4,IF(R35&gt;=50,5,""))))))</f>
        <v>4</v>
      </c>
      <c r="T35" s="212" t="n">
        <f aca="false">IF(ISERROR(S35*J35),0,S35*J35)</f>
        <v>36</v>
      </c>
      <c r="U35" s="212" t="n">
        <f aca="false">IF(ISERROR(S35*J35*K35),0,S35*J35*K35)</f>
        <v>36</v>
      </c>
      <c r="V35" s="228" t="n">
        <f aca="false">IF(ISERROR(S35*K35),0,S35*K35)</f>
        <v>4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NUPLUT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499</v>
      </c>
    </row>
    <row r="36" customFormat="false" ht="12.75" hidden="false" customHeight="false" outlineLevel="0" collapsed="false">
      <c r="A36" s="216" t="s">
        <v>16</v>
      </c>
      <c r="B36" s="217" t="n">
        <v>2.55413793103448</v>
      </c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Potamogeton nodosus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2.55413793103448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PHy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7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4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3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Potamogeton nodosus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1652</v>
      </c>
      <c r="R36" s="211" t="n">
        <f aca="false">IF(ISTEXT(H36),"",(B36*$B$7/100)+(C36*$C$7/100))</f>
        <v>2.55413793103448</v>
      </c>
      <c r="S36" s="212" t="n">
        <f aca="false">IF(OR(ISTEXT(H36),R36=0),"",IF(R36&lt;0.1,1,IF(R36&lt;1,2,IF(R36&lt;10,3,IF(R36&lt;50,4,IF(R36&gt;=50,5,""))))))</f>
        <v>3</v>
      </c>
      <c r="T36" s="212" t="n">
        <f aca="false">IF(ISERROR(S36*J36),0,S36*J36)</f>
        <v>12</v>
      </c>
      <c r="U36" s="212" t="n">
        <f aca="false">IF(ISERROR(S36*J36*K36),0,S36*J36*K36)</f>
        <v>36</v>
      </c>
      <c r="V36" s="228" t="n">
        <f aca="false">IF(ISERROR(S36*K36),0,S36*K36)</f>
        <v>9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POTNOD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530</v>
      </c>
    </row>
    <row r="37" customFormat="false" ht="12.75" hidden="false" customHeight="false" outlineLevel="0" collapsed="false">
      <c r="A37" s="216" t="s">
        <v>93</v>
      </c>
      <c r="B37" s="217" t="n">
        <v>0.0052</v>
      </c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Potamogeton pectinatus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0.0052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PHy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7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2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Potamogeton pectinatus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1655</v>
      </c>
      <c r="R37" s="211" t="n">
        <f aca="false">IF(ISTEXT(H37),"",(B37*$B$7/100)+(C37*$C$7/100))</f>
        <v>0.0052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2</v>
      </c>
      <c r="U37" s="212" t="n">
        <f aca="false">IF(ISERROR(S37*J37*K37),0,S37*J37*K37)</f>
        <v>4</v>
      </c>
      <c r="V37" s="228" t="n">
        <f aca="false">IF(ISERROR(S37*K37),0,S37*K37)</f>
        <v>2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POTPEC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532</v>
      </c>
    </row>
    <row r="38" customFormat="false" ht="12.75" hidden="false" customHeight="false" outlineLevel="0" collapsed="false">
      <c r="A38" s="216" t="s">
        <v>94</v>
      </c>
      <c r="B38" s="217" t="n">
        <v>0.0026</v>
      </c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Potamogeton perfoliatus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0.0026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PHy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7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9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2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Potamogeton perfoliatus</v>
      </c>
      <c r="M38" s="225"/>
      <c r="N38" s="225"/>
      <c r="O38" s="225"/>
      <c r="P38" s="226" t="s">
        <v>80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1656</v>
      </c>
      <c r="R38" s="211" t="n">
        <f aca="false">IF(ISTEXT(H38),"",(B38*$B$7/100)+(C38*$C$7/100))</f>
        <v>0.0026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9</v>
      </c>
      <c r="U38" s="212" t="n">
        <f aca="false">IF(ISERROR(S38*J38*K38),0,S38*J38*K38)</f>
        <v>18</v>
      </c>
      <c r="V38" s="228" t="n">
        <f aca="false">IF(ISERROR(S38*K38),0,S38*K38)</f>
        <v>2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POTPER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533</v>
      </c>
    </row>
    <row r="39" customFormat="false" ht="12.75" hidden="false" customHeight="false" outlineLevel="0" collapsed="false">
      <c r="A39" s="216" t="s">
        <v>95</v>
      </c>
      <c r="B39" s="217" t="n">
        <v>0.637931034482759</v>
      </c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Vallisneria spiralis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0.637931034482759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PHy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7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8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Vallisneria spiralis</v>
      </c>
      <c r="M39" s="225"/>
      <c r="N39" s="225"/>
      <c r="O39" s="225"/>
      <c r="P39" s="226" t="s">
        <v>80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1598</v>
      </c>
      <c r="R39" s="211" t="n">
        <f aca="false">IF(ISTEXT(H39),"",(B39*$B$7/100)+(C39*$C$7/100))</f>
        <v>0.637931034482759</v>
      </c>
      <c r="S39" s="212" t="n">
        <f aca="false">IF(OR(ISTEXT(H39),R39=0),"",IF(R39&lt;0.1,1,IF(R39&lt;1,2,IF(R39&lt;10,3,IF(R39&lt;50,4,IF(R39&gt;=50,5,""))))))</f>
        <v>2</v>
      </c>
      <c r="T39" s="212" t="n">
        <f aca="false">IF(ISERROR(S39*J39),0,S39*J39)</f>
        <v>16</v>
      </c>
      <c r="U39" s="212" t="n">
        <f aca="false">IF(ISERROR(S39*J39*K39),0,S39*J39*K39)</f>
        <v>32</v>
      </c>
      <c r="V39" s="228" t="n">
        <f aca="false">IF(ISERROR(S39*K39),0,S39*K39)</f>
        <v>4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VALSPI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613</v>
      </c>
    </row>
    <row r="40" customFormat="false" ht="12.75" hidden="false" customHeight="false" outlineLevel="0" collapsed="false">
      <c r="A40" s="216" t="s">
        <v>96</v>
      </c>
      <c r="B40" s="217" t="n">
        <v>0.0026</v>
      </c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Carex sp.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0.0026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PHx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10</v>
      </c>
      <c r="I40" s="8" t="n">
        <f aca="false">IF(A40="","",1)</f>
        <v>1</v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nc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nc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Carex sp.</v>
      </c>
      <c r="M40" s="225"/>
      <c r="N40" s="225"/>
      <c r="O40" s="225"/>
      <c r="P40" s="226" t="s">
        <v>80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1466</v>
      </c>
      <c r="R40" s="211" t="n">
        <f aca="false">IF(ISTEXT(H40),"",(B40*$B$7/100)+(C40*$C$7/100))</f>
        <v>0.0026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CARSPX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1037</v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38.1967448275862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57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SAONE</v>
      </c>
      <c r="B84" s="180" t="str">
        <f aca="false">C3</f>
        <v>SAONE A LYON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7.47368421052632</v>
      </c>
      <c r="E84" s="254" t="n">
        <f aca="false">O13</f>
        <v>18</v>
      </c>
      <c r="F84" s="180" t="n">
        <f aca="false">O14</f>
        <v>17</v>
      </c>
      <c r="G84" s="180" t="n">
        <f aca="false">O15</f>
        <v>6</v>
      </c>
      <c r="H84" s="180" t="n">
        <f aca="false">O16</f>
        <v>8</v>
      </c>
      <c r="I84" s="180" t="n">
        <f aca="false">O17</f>
        <v>3</v>
      </c>
      <c r="J84" s="255" t="n">
        <f aca="false">O8</f>
        <v>7.64705882352941</v>
      </c>
      <c r="K84" s="256" t="n">
        <f aca="false">O9</f>
        <v>2.94940026746392</v>
      </c>
      <c r="L84" s="257" t="n">
        <f aca="false">O10</f>
        <v>2</v>
      </c>
      <c r="M84" s="257" t="n">
        <f aca="false">O11</f>
        <v>13</v>
      </c>
      <c r="N84" s="256" t="n">
        <f aca="false">P8</f>
        <v>1.82352941176471</v>
      </c>
      <c r="O84" s="256" t="n">
        <f aca="false">P9</f>
        <v>0.705882352941176</v>
      </c>
      <c r="P84" s="257" t="n">
        <f aca="false">P10</f>
        <v>1</v>
      </c>
      <c r="Q84" s="257" t="n">
        <f aca="false">P11</f>
        <v>3</v>
      </c>
      <c r="R84" s="257" t="n">
        <f aca="false">F21</f>
        <v>38.1967448275862</v>
      </c>
      <c r="S84" s="257" t="n">
        <f aca="false">L11</f>
        <v>0</v>
      </c>
      <c r="T84" s="257" t="n">
        <f aca="false">L12</f>
        <v>8</v>
      </c>
      <c r="U84" s="257" t="n">
        <f aca="false">L13</f>
        <v>1</v>
      </c>
      <c r="V84" s="258" t="n">
        <f aca="false">L15</f>
        <v>9</v>
      </c>
      <c r="W84" s="259" t="n">
        <f aca="false">L15</f>
        <v>9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98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99</v>
      </c>
      <c r="S88" s="8"/>
      <c r="T88" s="263" t="n">
        <f aca="false">VLOOKUP($T$91,($A$23:$U$82),21,FALSE())</f>
        <v>36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100</v>
      </c>
      <c r="S89" s="8"/>
      <c r="T89" s="263" t="n">
        <f aca="false">MAX($V$23:$V$82)</f>
        <v>9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101</v>
      </c>
      <c r="S90" s="8" t="s">
        <v>10</v>
      </c>
      <c r="T90" s="264" t="n">
        <f aca="false">IF(OR(ISERROR(SUM($U$23:$U$82)/SUM($V$23:$V$82)),F7&lt;&gt;100),-1,(SUM($U$23:$U$82)-T88)/(SUM($V$23:$V$82)-T89))</f>
        <v>8.125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102</v>
      </c>
      <c r="S91" s="212"/>
      <c r="T91" s="212" t="str">
        <f aca="false">INDEX('[1]liste reference'!$A$6:$A$1174,$U$91)</f>
        <v>POTNOD</v>
      </c>
      <c r="U91" s="8" t="n">
        <f aca="false">IF(ISERROR(MATCH($T$93,'[1]liste reference'!$A$6:$A$1174,0)),MATCH($T$93,'[1]liste reference'!$B$6:$B$1174,0),(MATCH($T$93,'[1]liste reference'!$A$6:$A$1174,0)))</f>
        <v>530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103</v>
      </c>
      <c r="S92" s="8"/>
      <c r="T92" s="8" t="n">
        <f aca="false">MATCH(T89,$V$23:$V$82,0)</f>
        <v>14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104</v>
      </c>
      <c r="S93" s="8"/>
      <c r="T93" s="212" t="str">
        <f aca="false">INDEX($A$23:$A$82,$T$92)</f>
        <v>POTNOD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2016-04-19T09:15:16Z</dcterms:created>
  <dc:creator>laurianne isebe</dc:creator>
  <dc:description/>
  <dc:language>fr-FR</dc:language>
  <cp:lastModifiedBy>laurianne isebe</cp:lastModifiedBy>
  <dcterms:modified xsi:type="dcterms:W3CDTF">2016-04-19T09:15:25Z</dcterms:modified>
  <cp:revision>0</cp:revision>
  <dc:subject/>
  <dc:title/>
</cp:coreProperties>
</file>