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<sst xmlns="http://schemas.openxmlformats.org/spreadsheetml/2006/main" count="99" uniqueCount="94">
  <si>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</si>
  <si>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</si>
  <si>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</si>
  <si>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BERNARD BOURGOIN</t>
  </si>
  <si>
    <t xml:space="preserve">conforme AFNOR T90-395 oct. 2003</t>
  </si>
  <si>
    <t xml:space="preserve">Grand Foron</t>
  </si>
  <si>
    <t xml:space="preserve">GRAND FORON AU REPOSOIR</t>
  </si>
  <si>
    <t xml:space="preserve">06061600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</si>
  <si>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</si>
  <si>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</si>
  <si>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</si>
  <si>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</si>
  <si>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</si>
  <si>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</si>
  <si>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</si>
  <si>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</si>
  <si>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</si>
  <si>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</si>
  <si>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</si>
  <si>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</si>
  <si>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</si>
  <si>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</si>
  <si>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</si>
  <si>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</si>
  <si>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</si>
  <si>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</si>
  <si>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</si>
  <si>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</si>
  <si>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</si>
  <si>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</si>
  <si>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</si>
  <si>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</si>
  <si>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</si>
  <si>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</si>
  <si>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</si>
  <si>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</si>
  <si>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</si>
  <si>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</si>
  <si>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</si>
  <si>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</si>
  <si>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</si>
  <si>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</si>
  <si>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</si>
  <si>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</si>
  <si>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</si>
  <si>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</si>
  <si>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</si>
  <si>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</si>
  <si>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</si>
  <si>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</si>
  <si>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</si>
  <si>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</si>
  <si>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</si>
  <si>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</si>
  <si>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</si>
  <si>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</si>
  <si>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</si>
  <si>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</si>
  <si>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</si>
  <si>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</si>
  <si>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</si>
  <si>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</si>
  <si>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</si>
  <si>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</si>
  <si>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</si>
  <si>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</si>
  <si>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</si>
  <si>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</si>
  <si>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</si>
  <si>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</si>
  <si>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</si>
  <si>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</si>
  <si>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</si>
  <si>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</si>
  <si>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</si>
  <si>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</si>
  <si>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</si>
  <si>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</si>
  <si>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</si>
  <si>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HYUSPX</t>
  </si>
  <si>
    <t xml:space="preserve">PHOSPX</t>
  </si>
  <si>
    <t xml:space="preserve">TETSPX</t>
  </si>
  <si>
    <t xml:space="preserve">BRARIV</t>
  </si>
  <si>
    <t xml:space="preserve">CRAFIL</t>
  </si>
  <si>
    <t xml:space="preserve">PETHYB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</si>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</sst>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01_GRAFO_15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14.25</v>
      </c>
      <c r="M5" s="53"/>
      <c r="N5" s="54" t="s">
        <v>16</v>
      </c>
      <c r="O5" s="55" t="n">
        <v>14.7692307692308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13.1428571428571</v>
      </c>
      <c r="O8" s="84" t="n">
        <f aca="false">IF(ISERROR(AVERAGE(J23:J82)),"      -",AVERAGE(J23:J82))</f>
        <v>1.71428571428571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2.14</v>
      </c>
      <c r="C9" s="87" t="n">
        <v>2.06</v>
      </c>
      <c r="D9" s="88"/>
      <c r="E9" s="88"/>
      <c r="F9" s="89" t="n">
        <f aca="false">($B9*$B$7+$C9*$C$7)/100</f>
        <v>2.1392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3.56284683238284</v>
      </c>
      <c r="O9" s="84" t="n">
        <f aca="false">IF(ISERROR(STDEVP(J23:J82)),"      -",STDEVP(J23:J82))</f>
        <v>0.699854212223765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0.61</v>
      </c>
      <c r="C12" s="119" t="n">
        <v>0.04</v>
      </c>
      <c r="D12" s="111"/>
      <c r="E12" s="111"/>
      <c r="F12" s="112" t="n">
        <f aca="false">($B12*$B$7+$C12*$C$7)/100</f>
        <v>0.6043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1.53</v>
      </c>
      <c r="C13" s="119" t="n">
        <v>2.01</v>
      </c>
      <c r="D13" s="111"/>
      <c r="E13" s="111"/>
      <c r="F13" s="112" t="n">
        <f aca="false">($B13*$B$7+$C13*$C$7)/100</f>
        <v>1.5348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2.14</v>
      </c>
      <c r="C17" s="119" t="n">
        <v>2.05</v>
      </c>
      <c r="D17" s="111"/>
      <c r="E17" s="111"/>
      <c r="F17" s="143"/>
      <c r="G17" s="112" t="n">
        <f aca="false">($B17*$B$7+$C17*$C$7)/100</f>
        <v>2.1391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2.1392</v>
      </c>
      <c r="G19" s="156" t="n">
        <f aca="false">SUM(G16:G18)</f>
        <v>2.1392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2.14</v>
      </c>
      <c r="C20" s="166" t="n">
        <f aca="false">SUM(C23:C82)</f>
        <v>2.06</v>
      </c>
      <c r="D20" s="167"/>
      <c r="E20" s="168" t="s">
        <v>54</v>
      </c>
      <c r="F20" s="169" t="n">
        <f aca="false">($B20*$B$7+$C20*$C$7)/100</f>
        <v>2.1392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2.1186</v>
      </c>
      <c r="C21" s="179" t="n">
        <f aca="false">C20*C7/100</f>
        <v>0.0206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2.1392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0.1</v>
      </c>
      <c r="C23" s="205" t="n">
        <v>0.01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0.0991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0.0991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0.5</v>
      </c>
      <c r="C24" s="224" t="n">
        <v>0.01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Hydrurus sp.</v>
      </c>
      <c r="E24" s="225" t="e">
        <f aca="false">IF(D24="",0,VLOOKUP(D24,D$22:D23,1,0))</f>
        <v>#N/A</v>
      </c>
      <c r="F24" s="226" t="n">
        <f aca="false">($B24*$B$7+$C24*$C$7)/100</f>
        <v>0.4951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16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Hydrurus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6183</v>
      </c>
      <c r="Q24" s="215" t="n">
        <f aca="false">IF(ISTEXT(H24),"",(B24*$B$7/100)+(C24*$C$7/100))</f>
        <v>0.4951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32</v>
      </c>
      <c r="T24" s="216" t="n">
        <f aca="false">IF(ISERROR(R24*I24*J24),0,R24*I24*J24)</f>
        <v>64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HYUSPX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33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Tetraspora sp.</v>
      </c>
      <c r="E26" s="225" t="e">
        <f aca="false">IF(D26="",0,VLOOKUP(D26,D$22:D25,1,0))</f>
        <v>#N/A</v>
      </c>
      <c r="F26" s="226" t="n">
        <f aca="false">($B26*$B$7+$C26*$C$7)/100</f>
        <v>0.0001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12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Tetraspora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1138</v>
      </c>
      <c r="Q26" s="215" t="n">
        <f aca="false">IF(ISTEXT(H26),"",(B26*$B$7/100)+(C26*$C$7/100))</f>
        <v>0.0001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12</v>
      </c>
      <c r="T26" s="216" t="n">
        <f aca="false">IF(ISERROR(R26*I26*J26),0,R26*I26*J26)</f>
        <v>12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TETSPX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73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0.01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Brachythecium rivulare</v>
      </c>
      <c r="E27" s="225" t="e">
        <f aca="false">IF(D27="",0,VLOOKUP(D27,D$22:D26,1,0))</f>
        <v>#N/A</v>
      </c>
      <c r="F27" s="226" t="n">
        <f aca="false">($B27*$B$7+$C27*$C$7)/100</f>
        <v>0.0099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Brachythecium rivulare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1260</v>
      </c>
      <c r="Q27" s="215" t="n">
        <f aca="false">IF(ISTEXT(H27),"",(B27*$B$7/100)+(C27*$C$7/100))</f>
        <v>0.0099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15</v>
      </c>
      <c r="T27" s="216" t="n">
        <f aca="false">IF(ISERROR(R27*I27*J27),0,R27*I27*J27)</f>
        <v>30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BRARIV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155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0.02</v>
      </c>
      <c r="C28" s="224" t="n">
        <v>0.01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Cratoneuron filicinum</v>
      </c>
      <c r="E28" s="225" t="e">
        <f aca="false">IF(D28="",0,VLOOKUP(D28,D$22:D27,1,0))</f>
        <v>#N/A</v>
      </c>
      <c r="F28" s="226" t="n">
        <f aca="false">($B28*$B$7+$C28*$C$7)/100</f>
        <v>0.0199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18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Cratoneuron filicinum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1233</v>
      </c>
      <c r="Q28" s="215" t="n">
        <f aca="false">IF(ISTEXT(H28),"",(B28*$B$7/100)+(C28*$C$7/100))</f>
        <v>0.0199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18</v>
      </c>
      <c r="T28" s="216" t="n">
        <f aca="false">IF(ISERROR(R28*I28*J28),0,R28*I28*J28)</f>
        <v>54</v>
      </c>
      <c r="U28" s="228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CRAFIL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178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16</v>
      </c>
      <c r="B29" s="223" t="n">
        <v>1.5</v>
      </c>
      <c r="C29" s="224" t="n">
        <v>2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5" t="e">
        <f aca="false">IF(D29="",0,VLOOKUP(D29,D$22:D28,1,0))</f>
        <v>#N/A</v>
      </c>
      <c r="F29" s="226" t="n">
        <f aca="false">($B29*$B$7+$C29*$C$7)/100</f>
        <v>1.505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5" t="n">
        <f aca="false">IF(ISTEXT(H29),"",(B29*$B$7/100)+(C29*$C$7/100))</f>
        <v>1.505</v>
      </c>
      <c r="R29" s="216" t="n">
        <f aca="false">IF(OR(ISTEXT(H29),Q29=0),"",IF(Q29&lt;0.1,1,IF(Q29&lt;1,2,IF(Q29&lt;10,3,IF(Q29&lt;50,4,IF(Q29&gt;=50,5,""))))))</f>
        <v>3</v>
      </c>
      <c r="S29" s="216" t="n">
        <f aca="false">IF(ISERROR(R29*I29),0,R29*I29)</f>
        <v>36</v>
      </c>
      <c r="T29" s="216" t="n">
        <f aca="false">IF(ISERROR(R29*I29*J29),0,R29*I29*J29)</f>
        <v>36</v>
      </c>
      <c r="U29" s="228" t="n">
        <f aca="false">IF(ISERROR(R29*J29),0,R29*J29)</f>
        <v>3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0.01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Petasites hybridus</v>
      </c>
      <c r="E30" s="225" t="e">
        <f aca="false">IF(D30="",0,VLOOKUP(D30,D$22:D29,1,0))</f>
        <v>#N/A</v>
      </c>
      <c r="F30" s="226" t="n">
        <f aca="false">($B30*$B$7+$C30*$C$7)/100</f>
        <v>0.0001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PHg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9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Petasites hybridus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1745</v>
      </c>
      <c r="Q30" s="215" t="n">
        <f aca="false">IF(ISTEXT(H30),"",(B30*$B$7/100)+(C30*$C$7/100))</f>
        <v>0.0001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PETHYB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788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Grand Foron</v>
      </c>
      <c r="B84" s="258" t="str">
        <f aca="false">C3</f>
        <v>GRAND FORON AU REPOSOIR</v>
      </c>
      <c r="C84" s="259" t="n">
        <f aca="false">A4</f>
        <v>41470</v>
      </c>
      <c r="D84" s="260" t="n">
        <f aca="false">IF(ISERROR(SUM($T$23:$T$82)/SUM($U$23:$U$82)),"",SUM($T$23:$T$82)/SUM($U$23:$U$82))</f>
        <v>14.25</v>
      </c>
      <c r="E84" s="261" t="n">
        <f aca="false">N13</f>
        <v>8</v>
      </c>
      <c r="F84" s="258" t="n">
        <f aca="false">N14</f>
        <v>7</v>
      </c>
      <c r="G84" s="258" t="n">
        <f aca="false">N15</f>
        <v>3</v>
      </c>
      <c r="H84" s="258" t="n">
        <f aca="false">N16</f>
        <v>3</v>
      </c>
      <c r="I84" s="258" t="n">
        <f aca="false">N17</f>
        <v>1</v>
      </c>
      <c r="J84" s="262" t="n">
        <f aca="false">N8</f>
        <v>13.1428571428571</v>
      </c>
      <c r="K84" s="260" t="n">
        <f aca="false">N9</f>
        <v>3.56284683238284</v>
      </c>
      <c r="L84" s="261" t="n">
        <f aca="false">N10</f>
        <v>6</v>
      </c>
      <c r="M84" s="261" t="n">
        <f aca="false">N11</f>
        <v>18</v>
      </c>
      <c r="N84" s="260" t="n">
        <f aca="false">O8</f>
        <v>1.71428571428571</v>
      </c>
      <c r="O84" s="260" t="n">
        <f aca="false">O9</f>
        <v>0.699854212223765</v>
      </c>
      <c r="P84" s="261" t="n">
        <f aca="false">O10</f>
        <v>1</v>
      </c>
      <c r="Q84" s="261" t="n">
        <f aca="false">O11</f>
        <v>3</v>
      </c>
      <c r="R84" s="261" t="n">
        <f aca="false">F21</f>
        <v>2.1392</v>
      </c>
      <c r="S84" s="261" t="n">
        <f aca="false">K11</f>
        <v>0</v>
      </c>
      <c r="T84" s="261" t="n">
        <f aca="false">K12</f>
        <v>4</v>
      </c>
      <c r="U84" s="261" t="n">
        <f aca="false">K13</f>
        <v>3</v>
      </c>
      <c r="V84" s="263" t="n">
        <f aca="false">K14</f>
        <v>0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86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7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7" t="n">
        <f aca="false">VLOOKUP((S87),($S$23:$U$82),2,0)</f>
        <v>36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7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7" t="n">
        <f aca="false">IF(ISERROR(SUM($T$23:$T$82)/SUM($U$23:$U$82)),"",(SUM($T$23:$T$82)-S88)/(SUM($U$23:$U$82)-S89))</f>
        <v>14.7692307692308</v>
      </c>
      <c r="T90" s="10"/>
    </row>
    <row r="91" customFormat="false" ht="12.75" hidden="false" customHeight="false" outlineLevel="0" collapsed="false">
      <c r="Q91" s="216" t="s">
        <v>91</v>
      </c>
      <c r="R91" s="216"/>
      <c r="S91" s="216" t="str">
        <f aca="false">INDEX('[1]liste reference'!$A$8:$A$904,$T$91)</f>
        <v>RHYRIP</v>
      </c>
      <c r="T91" s="10" t="n">
        <f aca="false">IF(ISERROR(MATCH($S$93,'[1]liste reference'!$A$8:$A$904,0)),MATCH($S$93,'[1]liste reference'!$B$8:$B$904,0),(MATCH($S$93,'[1]liste reference'!$A$8:$A$904,0)))</f>
        <v>252</v>
      </c>
      <c r="U91" s="256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6" t="s">
        <v>93</v>
      </c>
      <c r="R93" s="10"/>
      <c r="S93" s="216" t="str">
        <f aca="false">INDEX($A$23:$A$82,$S$92)</f>
        <v>RHYRIP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2013-12-03T12:11:49Z</dcterms:created>
  <dc:creator>Laurent Bourgoin</dc:creator>
  <dc:description/>
  <dc:language>fr-FR</dc:language>
  <cp:lastModifiedBy>Laurent Bourgoin</cp:lastModifiedBy>
  <dcterms:modified xsi:type="dcterms:W3CDTF">2013-12-03T12:15:23Z</dcterms:modified>
  <cp:revision>0</cp:revision>
  <dc:subject/>
  <dc:title/>
</cp:coreProperties>
</file>