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<sst xmlns="http://schemas.openxmlformats.org/spreadsheetml/2006/main" count="100" uniqueCount="95">
  <si>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</si>
  <si>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</si>
  <si>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</si>
  <si>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L.bourgoin M. Schneider</t>
  </si>
  <si>
    <t xml:space="preserve">conforme AFNOR T90-395 oct. 2003</t>
  </si>
  <si>
    <t xml:space="preserve">Grand Foron</t>
  </si>
  <si>
    <t xml:space="preserve">Grand Foron au reposoir</t>
  </si>
  <si>
    <t xml:space="preserve">06061600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</si>
  <si>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</si>
  <si>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</si>
  <si>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</si>
  <si>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</si>
  <si>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</si>
  <si>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</si>
  <si>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</si>
  <si>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</si>
  <si>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CRAFIL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</si>
  <si>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</si>
  <si>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</si>
  <si>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</si>
  <si>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</si>
  <si>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très 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</si>
  <si>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</si>
  <si>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</si>
  <si>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</si>
  <si>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</si>
  <si>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</si>
  <si>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</si>
  <si>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</si>
  <si>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</si>
  <si>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</si>
  <si>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</si>
  <si>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</si>
  <si>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</si>
  <si>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</si>
  <si>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</si>
  <si>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</si>
  <si>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</si>
  <si>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</si>
  <si>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</si>
  <si>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</si>
  <si>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</si>
  <si>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</si>
  <si>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</si>
  <si>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</si>
  <si>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</si>
  <si>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</si>
  <si>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</si>
  <si>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</si>
  <si>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</si>
  <si>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</si>
  <si>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</si>
  <si>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</si>
  <si>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</si>
  <si>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</si>
  <si>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</si>
  <si>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</si>
  <si>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</si>
  <si>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</si>
  <si>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</si>
  <si>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</si>
  <si>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</si>
  <si>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</si>
  <si>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</si>
  <si>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</si>
  <si>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</si>
  <si>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</si>
  <si>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</si>
  <si>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</si>
  <si>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</si>
  <si>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</si>
  <si>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</si>
  <si>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</si>
  <si>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</si>
  <si>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</si>
  <si>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</si>
  <si>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</si>
  <si>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</si>
  <si>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BANSPX</t>
  </si>
  <si>
    <t xml:space="preserve">CLASPX</t>
  </si>
  <si>
    <t xml:space="preserve">NOSSPX</t>
  </si>
  <si>
    <t xml:space="preserve">PHOSPX</t>
  </si>
  <si>
    <t xml:space="preserve">AMBTEN</t>
  </si>
  <si>
    <t xml:space="preserve">BRARIV</t>
  </si>
  <si>
    <t xml:space="preserve">RHYRIP</t>
  </si>
  <si>
    <t xml:space="preserve">PETHYB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</si>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</sst>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GRAFO_12-08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41863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14.047619047619</v>
      </c>
      <c r="M5" s="53"/>
      <c r="N5" s="54" t="s">
        <v>16</v>
      </c>
      <c r="O5" s="55" t="n">
        <v>12.4666666666667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12.25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3.28</v>
      </c>
      <c r="C9" s="87" t="n">
        <v>0.11</v>
      </c>
      <c r="D9" s="88"/>
      <c r="E9" s="88"/>
      <c r="F9" s="89" t="n">
        <f aca="false">($B9*$B$7+$C9*$C$7)/100</f>
        <v>3.2166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3.59687364248454</v>
      </c>
      <c r="O9" s="84" t="n">
        <f aca="false">IF(ISERROR(STDEVP(J23:J82)),"      -",STDEVP(J23:J82))</f>
        <v>0.661437827766148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0.26</v>
      </c>
      <c r="C12" s="119"/>
      <c r="D12" s="111"/>
      <c r="E12" s="111"/>
      <c r="F12" s="112" t="n">
        <f aca="false">($B12*$B$7+$C12*$C$7)/100</f>
        <v>0.2548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3.01</v>
      </c>
      <c r="C13" s="119" t="n">
        <v>0.11</v>
      </c>
      <c r="D13" s="111"/>
      <c r="E13" s="111"/>
      <c r="F13" s="112" t="n">
        <f aca="false">($B13*$B$7+$C13*$C$7)/100</f>
        <v>2.952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0.01</v>
      </c>
      <c r="C15" s="136"/>
      <c r="D15" s="111"/>
      <c r="E15" s="111"/>
      <c r="F15" s="112" t="n">
        <f aca="false">($B15*$B$7+$C15*$C$7)/100</f>
        <v>0.0098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3.27</v>
      </c>
      <c r="C17" s="119" t="n">
        <v>0.11</v>
      </c>
      <c r="D17" s="111"/>
      <c r="E17" s="111"/>
      <c r="F17" s="143"/>
      <c r="G17" s="112" t="n">
        <f aca="false">($B17*$B$7+$C17*$C$7)/100</f>
        <v>3.2068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0.01</v>
      </c>
      <c r="C18" s="146"/>
      <c r="D18" s="111"/>
      <c r="E18" s="147" t="s">
        <v>54</v>
      </c>
      <c r="F18" s="143"/>
      <c r="G18" s="112" t="n">
        <f aca="false">($B18*$B$7+$C18*$C$7)/100</f>
        <v>0.0098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3.2166</v>
      </c>
      <c r="G19" s="156" t="n">
        <f aca="false">SUM(G16:G18)</f>
        <v>3.2166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3.28</v>
      </c>
      <c r="C20" s="166" t="n">
        <f aca="false">SUM(C23:C82)</f>
        <v>0.11</v>
      </c>
      <c r="D20" s="167"/>
      <c r="E20" s="168" t="s">
        <v>54</v>
      </c>
      <c r="F20" s="169" t="n">
        <f aca="false">($B20*$B$7+$C20*$C$7)/100</f>
        <v>3.2166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3.2144</v>
      </c>
      <c r="C21" s="179" t="n">
        <f aca="false">C20*C7/100</f>
        <v>0.0022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3.2166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0.095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Bangia sp.</v>
      </c>
      <c r="E23" s="207" t="e">
        <f aca="false">IF(D23="",0,VLOOKUP(D23,D$22:D22,1,0))</f>
        <v>#N/A</v>
      </c>
      <c r="F23" s="208" t="n">
        <f aca="false">($B23*$B$7+$C23*$C$7)/100</f>
        <v>0.0931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10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Bangia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1153</v>
      </c>
      <c r="Q23" s="216" t="n">
        <f aca="false">IF(ISTEXT(H23),"",(B23*$B$7/100)+(C23*$C$7/100))</f>
        <v>0.0931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10</v>
      </c>
      <c r="T23" s="217" t="n">
        <f aca="false">IF(ISERROR(R23*I23*J23),0,R23*I23*J23)</f>
        <v>20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BANSPX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0.098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1124</v>
      </c>
      <c r="Q24" s="216" t="n">
        <f aca="false">IF(ISTEXT(H24),"",(B24*$B$7/100)+(C24*$C$7/100))</f>
        <v>0.098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6</v>
      </c>
      <c r="T24" s="217" t="n">
        <f aca="false">IF(ISERROR(R24*I24*J24),0,R24*I24*J24)</f>
        <v>6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CLASPX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0.01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Nostoc sp.</v>
      </c>
      <c r="E25" s="226" t="e">
        <f aca="false">IF(D25="",0,VLOOKUP(D25,D$22:D24,1,0))</f>
        <v>#N/A</v>
      </c>
      <c r="F25" s="227" t="n">
        <f aca="false">($B25*$B$7+$C25*$C$7)/100</f>
        <v>0.0098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9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Nostoc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1105</v>
      </c>
      <c r="Q25" s="216" t="n">
        <f aca="false">IF(ISTEXT(H25),"",(B25*$B$7/100)+(C25*$C$7/100))</f>
        <v>0.0098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9</v>
      </c>
      <c r="T25" s="217" t="n">
        <f aca="false">IF(ISERROR(R25*I25*J25),0,R25*I25*J25)</f>
        <v>9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NOSSPX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0.055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0.0539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6414</v>
      </c>
      <c r="Q26" s="216" t="n">
        <f aca="false">IF(ISTEXT(H26),"",(B26*$B$7/100)+(C26*$C$7/100))</f>
        <v>0.0539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PHOSPX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Amblystegium tenax</v>
      </c>
      <c r="E27" s="226" t="e">
        <f aca="false">IF(D27="",0,VLOOKUP(D27,D$22:D26,1,0))</f>
        <v>#N/A</v>
      </c>
      <c r="F27" s="227" t="n">
        <f aca="false">($B27*$B$7+$C27*$C$7)/100</f>
        <v>0.0098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15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Amblystegium tenax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10210</v>
      </c>
      <c r="Q27" s="216" t="n">
        <f aca="false">IF(ISTEXT(H27),"",(B27*$B$7/100)+(C27*$C$7/100))</f>
        <v>0.0098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15</v>
      </c>
      <c r="T27" s="217" t="n">
        <f aca="false">IF(ISERROR(R27*I27*J27),0,R27*I27*J27)</f>
        <v>30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AMBTEN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150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0.2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Brachythecium rivulare</v>
      </c>
      <c r="E28" s="226" t="e">
        <f aca="false">IF(D28="",0,VLOOKUP(D28,D$22:D27,1,0))</f>
        <v>#N/A</v>
      </c>
      <c r="F28" s="227" t="n">
        <f aca="false">($B28*$B$7+$C28*$C$7)/100</f>
        <v>0.196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15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Brachythecium rivulare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1260</v>
      </c>
      <c r="Q28" s="216" t="n">
        <f aca="false">IF(ISTEXT(H28),"",(B28*$B$7/100)+(C28*$C$7/100))</f>
        <v>0.196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30</v>
      </c>
      <c r="T28" s="217" t="n">
        <f aca="false">IF(ISERROR(R28*I28*J28),0,R28*I28*J28)</f>
        <v>60</v>
      </c>
      <c r="U28" s="229" t="n">
        <f aca="false">IF(ISERROR(R28*J28),0,R28*J28)</f>
        <v>4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BRARIV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155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0.5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Cratoneuron filicinum</v>
      </c>
      <c r="E29" s="226" t="e">
        <f aca="false">IF(D29="",0,VLOOKUP(D29,D$22:D28,1,0))</f>
        <v>#N/A</v>
      </c>
      <c r="F29" s="227" t="n">
        <f aca="false">($B29*$B$7+$C29*$C$7)/100</f>
        <v>0.49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18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3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Cratoneuron filicinum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1233</v>
      </c>
      <c r="Q29" s="216" t="n">
        <f aca="false">IF(ISTEXT(H29),"",(B29*$B$7/100)+(C29*$C$7/100))</f>
        <v>0.49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36</v>
      </c>
      <c r="T29" s="217" t="n">
        <f aca="false">IF(ISERROR(R29*I29*J29),0,R29*I29*J29)</f>
        <v>108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CRAFIL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2.3</v>
      </c>
      <c r="C30" s="225" t="n">
        <v>0.11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Rhynchostegium riparioides</v>
      </c>
      <c r="E30" s="226" t="e">
        <f aca="false">IF(D30="",0,VLOOKUP(D30,D$22:D29,1,0))</f>
        <v>#N/A</v>
      </c>
      <c r="F30" s="227" t="n">
        <f aca="false">($B30*$B$7+$C30*$C$7)/100</f>
        <v>2.2562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Rhynchostegium riparioides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1268</v>
      </c>
      <c r="Q30" s="216" t="n">
        <f aca="false">IF(ISTEXT(H30),"",(B30*$B$7/100)+(C30*$C$7/100))</f>
        <v>2.2562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36</v>
      </c>
      <c r="T30" s="217" t="n">
        <f aca="false">IF(ISERROR(R30*I30*J30),0,R30*I30*J30)</f>
        <v>36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RHYRIP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252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Petasites hybridus</v>
      </c>
      <c r="E31" s="226" t="e">
        <f aca="false">IF(D31="",0,VLOOKUP(D31,D$22:D30,1,0))</f>
        <v>#N/A</v>
      </c>
      <c r="F31" s="227" t="n">
        <f aca="false">($B31*$B$7+$C31*$C$7)/100</f>
        <v>0.0098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PHg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9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Petasites hybridus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1745</v>
      </c>
      <c r="Q31" s="216" t="n">
        <f aca="false">IF(ISTEXT(H31),"",(B31*$B$7/100)+(C31*$C$7/100))</f>
        <v>0.0098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PETHYB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788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Grand Foron</v>
      </c>
      <c r="B84" s="259" t="str">
        <f aca="false">C3</f>
        <v>Grand Foron au reposoir</v>
      </c>
      <c r="C84" s="260" t="n">
        <f aca="false">A4</f>
        <v>41863</v>
      </c>
      <c r="D84" s="261" t="n">
        <f aca="false">IF(ISERROR(SUM($T$23:$T$82)/SUM($U$23:$U$82)),"",SUM($T$23:$T$82)/SUM($U$23:$U$82))</f>
        <v>14.047619047619</v>
      </c>
      <c r="E84" s="262" t="n">
        <f aca="false">N13</f>
        <v>9</v>
      </c>
      <c r="F84" s="259" t="n">
        <f aca="false">N14</f>
        <v>8</v>
      </c>
      <c r="G84" s="259" t="n">
        <f aca="false">N15</f>
        <v>3</v>
      </c>
      <c r="H84" s="259" t="n">
        <f aca="false">N16</f>
        <v>4</v>
      </c>
      <c r="I84" s="259" t="n">
        <f aca="false">N17</f>
        <v>1</v>
      </c>
      <c r="J84" s="263" t="n">
        <f aca="false">N8</f>
        <v>12.25</v>
      </c>
      <c r="K84" s="261" t="n">
        <f aca="false">N9</f>
        <v>3.59687364248454</v>
      </c>
      <c r="L84" s="262" t="n">
        <f aca="false">N10</f>
        <v>6</v>
      </c>
      <c r="M84" s="262" t="n">
        <f aca="false">N11</f>
        <v>18</v>
      </c>
      <c r="N84" s="261" t="n">
        <f aca="false">O8</f>
        <v>1.75</v>
      </c>
      <c r="O84" s="261" t="n">
        <f aca="false">O9</f>
        <v>0.661437827766148</v>
      </c>
      <c r="P84" s="262" t="n">
        <f aca="false">O10</f>
        <v>1</v>
      </c>
      <c r="Q84" s="262" t="n">
        <f aca="false">O11</f>
        <v>3</v>
      </c>
      <c r="R84" s="262" t="n">
        <f aca="false">F21</f>
        <v>3.2166</v>
      </c>
      <c r="S84" s="262" t="n">
        <f aca="false">K11</f>
        <v>0</v>
      </c>
      <c r="T84" s="262" t="n">
        <f aca="false">K12</f>
        <v>4</v>
      </c>
      <c r="U84" s="262" t="n">
        <f aca="false">K13</f>
        <v>4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108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12.4666666666667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CRAFIL</v>
      </c>
      <c r="T91" s="10" t="n">
        <f aca="false">IF(ISERROR(MATCH($S$93,'[2]liste reference'!$A$8:$A$904,0)),MATCH($S$93,'[2]liste reference'!$B$8:$B$904,0),(MATCH($S$93,'[2]liste reference'!$A$8:$A$904,0)))</f>
        <v>178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CRAFIL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2015-03-17T17:53:49Z</dcterms:created>
  <dc:creator>Laurent Bourgoin</dc:creator>
  <dc:description/>
  <dc:language>fr-FR</dc:language>
  <cp:lastModifiedBy>Laurent Bourgoin</cp:lastModifiedBy>
  <dcterms:modified xsi:type="dcterms:W3CDTF">2015-03-17T17:53:56Z</dcterms:modified>
  <cp:revision>0</cp:revision>
  <dc:subject/>
  <dc:title/>
</cp:coreProperties>
</file>