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<sst xmlns="http://schemas.openxmlformats.org/spreadsheetml/2006/main" count="160" uniqueCount="95">
  <si>
    <t xml:space="preserve">Relevés floristiques aquatiques - IBMR</t>
  </si>
  <si>
    <t xml:space="preserve">modèle Irstea-GIS</t>
  </si>
  <si>
    <t xml:space="preserve">SAGE</t>
  </si>
  <si>
    <t xml:space="preserve">C. BERNARD P. BELLY</t>
  </si>
  <si>
    <t xml:space="preserve">GRAND FORON</t>
  </si>
  <si>
    <t xml:space="preserve">GRAND FORON AU REPOSOIR</t>
  </si>
  <si>
    <t xml:space="preserve">06061600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</si>
  <si>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</si>
  <si>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</si>
  <si>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</si>
  <si>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</si>
  <si>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</si>
  <si>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</si>
  <si>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</si>
  <si>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</si>
  <si>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</si>
  <si>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HYUSPX</t>
  </si>
  <si>
    <t xml:space="preserve">Faciès dominant</t>
  </si>
  <si>
    <t xml:space="preserve">rapide</t>
  </si>
  <si>
    <t xml:space="preserve">pl. lent</t>
  </si>
  <si>
    <t xml:space="preserve">niveau trophique</t>
  </si>
  <si>
    <t xml:space="preserve">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</si>
  <si>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</si>
  <si>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</si>
  <si>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</si>
  <si>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</si>
  <si>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</si>
  <si>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</si>
  <si>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</si>
  <si>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</si>
  <si>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</si>
  <si>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</si>
  <si>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</si>
  <si>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</si>
  <si>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</si>
  <si>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</si>
  <si>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</si>
  <si>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</si>
  <si>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</si>
  <si>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</si>
  <si>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</si>
  <si>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</si>
  <si>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</si>
  <si>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</si>
  <si>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</si>
  <si>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</si>
  <si>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</si>
  <si>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</si>
  <si>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</si>
  <si>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</si>
  <si>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</si>
  <si>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</si>
  <si>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</si>
  <si>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</si>
  <si>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</si>
  <si>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</si>
  <si>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</si>
  <si>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</si>
  <si>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</si>
  <si>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</si>
  <si>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</si>
  <si>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</si>
  <si>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</si>
  <si>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</si>
  <si>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</si>
  <si>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</si>
  <si>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</si>
  <si>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</si>
  <si>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</si>
  <si>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</si>
  <si>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</si>
  <si>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</si>
  <si>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</si>
  <si>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</si>
  <si>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</si>
  <si>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</si>
  <si>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</si>
  <si>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</si>
  <si>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</si>
  <si>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</si>
  <si>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</si>
  <si>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</si>
  <si>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PHOSPX</t>
  </si>
  <si>
    <t xml:space="preserve">FISADI</t>
  </si>
  <si>
    <t xml:space="preserve">RHYRIP</t>
  </si>
  <si>
    <t xml:space="preserve">NEWCOD</t>
  </si>
  <si>
    <t xml:space="preserve">Klebormidium sp.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</si>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</sst>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GRAFO_22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42177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13.3333333333333</v>
      </c>
      <c r="N5" s="51"/>
      <c r="O5" s="52" t="s">
        <v>16</v>
      </c>
      <c r="P5" s="53" t="n">
        <v>11.2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98</v>
      </c>
      <c r="C7" s="69" t="n">
        <v>2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11.75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0.37</v>
      </c>
      <c r="C9" s="86" t="n">
        <v>0.1</v>
      </c>
      <c r="D9" s="87"/>
      <c r="E9" s="87"/>
      <c r="F9" s="88" t="n">
        <f aca="false">($B9*$B$7+$C9*$C$7)/100</f>
        <v>0.3646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3.63145976158349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16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0.24</v>
      </c>
      <c r="C12" s="111"/>
      <c r="D12" s="87"/>
      <c r="E12" s="87"/>
      <c r="F12" s="104" t="n">
        <f aca="false">($B12*$B$7+$C12*$C$7)/100</f>
        <v>0.2352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3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0.13</v>
      </c>
      <c r="C13" s="111" t="n">
        <v>0.1</v>
      </c>
      <c r="D13" s="87"/>
      <c r="E13" s="87"/>
      <c r="F13" s="104" t="n">
        <f aca="false">($B13*$B$7+$C13*$C$7)/100</f>
        <v>0.1294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2</v>
      </c>
      <c r="M13" s="108"/>
      <c r="N13" s="116" t="s">
        <v>42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4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2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0.37</v>
      </c>
      <c r="C17" s="111" t="n">
        <v>0.1</v>
      </c>
      <c r="D17" s="87"/>
      <c r="E17" s="87"/>
      <c r="F17" s="129"/>
      <c r="G17" s="130" t="n">
        <f aca="false">($B17*$B$7+$C17*$C$7)/100</f>
        <v>0.3646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0.833333333333333</v>
      </c>
      <c r="N17" s="116" t="s">
        <v>53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0.3646</v>
      </c>
      <c r="G19" s="150" t="n">
        <f aca="false">SUM(G16:G18)</f>
        <v>0.3646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0.37</v>
      </c>
      <c r="C20" s="160" t="n">
        <f aca="false">SUM(C23:C62)</f>
        <v>0.1</v>
      </c>
      <c r="D20" s="161"/>
      <c r="E20" s="162" t="s">
        <v>55</v>
      </c>
      <c r="F20" s="163" t="n">
        <f aca="false">($B20*$B$7+$C20*$C$7)/100</f>
        <v>0.3646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0.3626</v>
      </c>
      <c r="C21" s="171" t="n">
        <f aca="false">C20*C7/100</f>
        <v>0.002</v>
      </c>
      <c r="D21" s="172" t="s">
        <v>58</v>
      </c>
      <c r="E21" s="173"/>
      <c r="F21" s="174" t="n">
        <f aca="false">B21+C21</f>
        <v>0.3646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0.02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0.0196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0.0196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0.2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Hydrurus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0.196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Hydrurus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6183</v>
      </c>
      <c r="R24" s="211" t="n">
        <f aca="false">IF(ISTEXT(H24),"",(B24*$B$7/100)+(C24*$C$7/100))</f>
        <v>0.196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32</v>
      </c>
      <c r="U24" s="212" t="n">
        <f aca="false">IF(ISERROR(S24*J24*K24),0,S24*J24*K24)</f>
        <v>64</v>
      </c>
      <c r="V24" s="228" t="n">
        <f aca="false">IF(ISERROR(S24*K24),0,S24*K24)</f>
        <v>4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HYUSPX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56</v>
      </c>
    </row>
    <row r="25" customFormat="false" ht="12.75" hidden="false" customHeight="false" outlineLevel="0" collapsed="false">
      <c r="A25" s="216" t="s">
        <v>82</v>
      </c>
      <c r="B25" s="217" t="n">
        <v>0.01</v>
      </c>
      <c r="C25" s="218" t="n">
        <v>0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Phormidium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0.0098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13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Phormidium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6414</v>
      </c>
      <c r="R25" s="211" t="n">
        <f aca="false">IF(ISTEXT(H25),"",(B25*$B$7/100)+(C25*$C$7/100))</f>
        <v>0.0098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13</v>
      </c>
      <c r="U25" s="212" t="n">
        <f aca="false">IF(ISERROR(S25*J25*K25),0,S25*J25*K25)</f>
        <v>26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PHOSPX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88</v>
      </c>
    </row>
    <row r="26" customFormat="false" ht="12.75" hidden="false" customHeight="false" outlineLevel="0" collapsed="false">
      <c r="A26" s="216" t="s">
        <v>83</v>
      </c>
      <c r="B26" s="217" t="n">
        <v>0.01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Fissidens adianthoides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0.0098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nc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nc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Fissidens adianthoides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19663</v>
      </c>
      <c r="R26" s="211" t="n">
        <f aca="false">IF(ISTEXT(H26),"",(B26*$B$7/100)+(C26*$C$7/100))</f>
        <v>0.0098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FISADI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251</v>
      </c>
    </row>
    <row r="27" customFormat="false" ht="12.75" hidden="false" customHeight="false" outlineLevel="0" collapsed="false">
      <c r="A27" s="216" t="s">
        <v>84</v>
      </c>
      <c r="B27" s="217" t="n">
        <v>0.12</v>
      </c>
      <c r="C27" s="218" t="n">
        <v>0.1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Rhynchostegium riparioides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0.1196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12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Rhynchostegium riparioides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31691</v>
      </c>
      <c r="R27" s="211" t="n">
        <f aca="false">IF(ISTEXT(H27),"",(B27*$B$7/100)+(C27*$C$7/100))</f>
        <v>0.1196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24</v>
      </c>
      <c r="U27" s="212" t="n">
        <f aca="false">IF(ISERROR(S27*J27*K27),0,S27*J27*K27)</f>
        <v>24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RHYRIP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345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n">
        <f aca="false">IF(AND(OR(A28="",A28="!!!!!!"),B28="",C28=""),"",IF(OR(AND(B28="",C28=""),ISERROR(C28+B28)),"!!!",($B28*$B$7+$C28*$C$7)/100))</f>
        <v>0.0098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    -</v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Klebormidium sp.</v>
      </c>
      <c r="M28" s="225"/>
      <c r="N28" s="225"/>
      <c r="O28" s="225"/>
      <c r="P28" s="226" t="s">
        <v>81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NoCod</v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 t="s">
        <v>86</v>
      </c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NEWCOD</v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0.3646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GRAND FORON</v>
      </c>
      <c r="B84" s="180" t="str">
        <f aca="false">C3</f>
        <v>GRAND FORON AU REPOSOIR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13.3333333333333</v>
      </c>
      <c r="E84" s="254" t="n">
        <f aca="false">O13</f>
        <v>6</v>
      </c>
      <c r="F84" s="180" t="n">
        <f aca="false">O14</f>
        <v>4</v>
      </c>
      <c r="G84" s="180" t="n">
        <f aca="false">O15</f>
        <v>2</v>
      </c>
      <c r="H84" s="180" t="n">
        <f aca="false">O16</f>
        <v>2</v>
      </c>
      <c r="I84" s="180" t="n">
        <f aca="false">O17</f>
        <v>0</v>
      </c>
      <c r="J84" s="255" t="n">
        <f aca="false">O8</f>
        <v>11.75</v>
      </c>
      <c r="K84" s="256" t="n">
        <f aca="false">O9</f>
        <v>3.63145976158349</v>
      </c>
      <c r="L84" s="257" t="n">
        <f aca="false">O10</f>
        <v>6</v>
      </c>
      <c r="M84" s="257" t="n">
        <f aca="false">O11</f>
        <v>16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0.3646</v>
      </c>
      <c r="S84" s="257" t="n">
        <f aca="false">L11</f>
        <v>0</v>
      </c>
      <c r="T84" s="257" t="n">
        <f aca="false">L12</f>
        <v>3</v>
      </c>
      <c r="U84" s="257" t="n">
        <f aca="false">L13</f>
        <v>2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87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88</v>
      </c>
      <c r="S87" s="8"/>
      <c r="T87" s="263" t="n">
        <f aca="false">VLOOKUP($T$91,($A$23:$U$82),20,FALSE())</f>
        <v>32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89</v>
      </c>
      <c r="S88" s="8"/>
      <c r="T88" s="263" t="n">
        <f aca="false">VLOOKUP($T$91,($A$23:$U$82),21,FALSE())</f>
        <v>64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90</v>
      </c>
      <c r="S89" s="8"/>
      <c r="T89" s="263" t="n">
        <f aca="false">MAX($V$23:$V$82)</f>
        <v>4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91</v>
      </c>
      <c r="S90" s="8" t="s">
        <v>10</v>
      </c>
      <c r="T90" s="264" t="n">
        <f aca="false">IF(OR(ISERROR(SUM($U$23:$U$82)/SUM($V$23:$V$82)),F7&lt;&gt;100),-1,(SUM($U$23:$U$82)-T88)/(SUM($V$23:$V$82)-T89))</f>
        <v>11.2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92</v>
      </c>
      <c r="S91" s="212"/>
      <c r="T91" s="212" t="str">
        <f aca="false">INDEX('[1]liste reference'!$A$6:$A$1174,$U$91)</f>
        <v>HYUSPX</v>
      </c>
      <c r="U91" s="8" t="n">
        <f aca="false">IF(ISERROR(MATCH($T$93,'[1]liste reference'!$A$6:$A$1174,0)),MATCH($T$93,'[1]liste reference'!$B$6:$B$1174,0),(MATCH($T$93,'[1]liste reference'!$A$6:$A$1174,0)))</f>
        <v>56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93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94</v>
      </c>
      <c r="S93" s="8"/>
      <c r="T93" s="212" t="str">
        <f aca="false">INDEX($A$23:$A$82,$T$92)</f>
        <v>HYUSPX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2016-01-26T13:50:49Z</dcterms:created>
  <dc:creator>laurianne isebe</dc:creator>
  <dc:description/>
  <dc:language>fr-FR</dc:language>
  <cp:lastModifiedBy>laurianne isebe</cp:lastModifiedBy>
  <dcterms:modified xsi:type="dcterms:W3CDTF">2016-01-26T13:50:51Z</dcterms:modified>
  <cp:revision>0</cp:revision>
  <dc:subject/>
  <dc:title/>
</cp:coreProperties>
</file>