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<sst xmlns="http://schemas.openxmlformats.org/spreadsheetml/2006/main" count="102" uniqueCount="97">
  <si>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</si>
  <si>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</si>
  <si>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</si>
  <si>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CBERNARD LBOURGOIN</t>
  </si>
  <si>
    <t xml:space="preserve">conforme AFNOR T90-395 oct. 2003</t>
  </si>
  <si>
    <t xml:space="preserve">FORON DE TANINGES</t>
  </si>
  <si>
    <t xml:space="preserve">Foron De Taninges à Taninges</t>
  </si>
  <si>
    <t xml:space="preserve">06062400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</si>
  <si>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</si>
  <si>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</si>
  <si>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</si>
  <si>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</si>
  <si>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</si>
  <si>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</si>
  <si>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</si>
  <si>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</si>
  <si>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HYUSPX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</si>
  <si>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</si>
  <si>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</si>
  <si>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</si>
  <si>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</si>
  <si>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</si>
  <si>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</si>
  <si>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</si>
  <si>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</si>
  <si>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</si>
  <si>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</si>
  <si>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</si>
  <si>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</si>
  <si>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</si>
  <si>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</si>
  <si>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</si>
  <si>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</si>
  <si>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</si>
  <si>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</si>
  <si>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</si>
  <si>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</si>
  <si>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</si>
  <si>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</si>
  <si>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</si>
  <si>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</si>
  <si>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</si>
  <si>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</si>
  <si>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</si>
  <si>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</si>
  <si>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</si>
  <si>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</si>
  <si>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</si>
  <si>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</si>
  <si>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</si>
  <si>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</si>
  <si>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</si>
  <si>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</si>
  <si>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</si>
  <si>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</si>
  <si>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</si>
  <si>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</si>
  <si>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</si>
  <si>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</si>
  <si>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</si>
  <si>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</si>
  <si>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</si>
  <si>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</si>
  <si>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</si>
  <si>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</si>
  <si>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</si>
  <si>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</si>
  <si>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</si>
  <si>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</si>
  <si>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</si>
  <si>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</si>
  <si>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</si>
  <si>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</si>
  <si>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</si>
  <si>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</si>
  <si>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</si>
  <si>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</si>
  <si>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</si>
  <si>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</si>
  <si>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</si>
  <si>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PHOSPX</t>
  </si>
  <si>
    <t xml:space="preserve">SPISPX</t>
  </si>
  <si>
    <t xml:space="preserve">TOYSPX</t>
  </si>
  <si>
    <t xml:space="preserve">BRARIV</t>
  </si>
  <si>
    <t xml:space="preserve">CRACOM</t>
  </si>
  <si>
    <t xml:space="preserve">PETHYB</t>
  </si>
  <si>
    <t xml:space="preserve">newcod</t>
  </si>
  <si>
    <t xml:space="preserve">Homoeothrix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</si>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</sst>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i val="true"/>
      <sz val="11"/>
      <color rgb="FF000000"/>
      <name val="Calibri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7" borderId="3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9720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FORTA_16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13.5172413793103</v>
      </c>
      <c r="M5" s="53"/>
      <c r="N5" s="54" t="s">
        <v>16</v>
      </c>
      <c r="O5" s="55" t="n">
        <v>12.8695652173913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12.4285714285714</v>
      </c>
      <c r="O8" s="84" t="n">
        <f aca="false">IF(ISERROR(AVERAGE(J23:J82)),"      -",AVERAGE(J23:J82))</f>
        <v>1.71428571428571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24.2</v>
      </c>
      <c r="C9" s="87" t="n">
        <v>8.59</v>
      </c>
      <c r="D9" s="88"/>
      <c r="E9" s="88"/>
      <c r="F9" s="89" t="n">
        <f aca="false">($B9*$B$7+$C9*$C$7)/100</f>
        <v>21.078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3.24509048331444</v>
      </c>
      <c r="O9" s="84" t="n">
        <f aca="false">IF(ISERROR(STDEVP(J23:J82)),"      -",STDEVP(J23:J82))</f>
        <v>0.451753951452626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16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23</v>
      </c>
      <c r="C12" s="119" t="n">
        <v>8.18</v>
      </c>
      <c r="D12" s="111"/>
      <c r="E12" s="111"/>
      <c r="F12" s="112" t="n">
        <f aca="false">($B12*$B$7+$C12*$C$7)/100</f>
        <v>20.036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1.2</v>
      </c>
      <c r="C13" s="119" t="n">
        <v>0.4</v>
      </c>
      <c r="D13" s="111"/>
      <c r="E13" s="111"/>
      <c r="F13" s="112" t="n">
        <f aca="false">($B13*$B$7+$C13*$C$7)/100</f>
        <v>1.04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2</v>
      </c>
      <c r="L13" s="116"/>
      <c r="M13" s="127" t="s">
        <v>42</v>
      </c>
      <c r="N13" s="128" t="n">
        <f aca="false">COUNTIF(F23:F82,"&gt;0")</f>
        <v>10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0.01</v>
      </c>
      <c r="D15" s="111"/>
      <c r="E15" s="111"/>
      <c r="F15" s="112" t="n">
        <f aca="false">($B15*$B$7+$C15*$C$7)/100</f>
        <v>0.002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24.2</v>
      </c>
      <c r="C17" s="119" t="n">
        <v>8.58</v>
      </c>
      <c r="D17" s="111"/>
      <c r="E17" s="111"/>
      <c r="F17" s="143"/>
      <c r="G17" s="112" t="n">
        <f aca="false">($B17*$B$7+$C17*$C$7)/100</f>
        <v>21.076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0.01</v>
      </c>
      <c r="D18" s="111"/>
      <c r="E18" s="147" t="s">
        <v>54</v>
      </c>
      <c r="F18" s="143"/>
      <c r="G18" s="112" t="n">
        <f aca="false">($B18*$B$7+$C18*$C$7)/100</f>
        <v>0.002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21.078</v>
      </c>
      <c r="G19" s="156" t="n">
        <f aca="false">SUM(G16:G18)</f>
        <v>21.078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24.215</v>
      </c>
      <c r="C20" s="166" t="n">
        <f aca="false">SUM(C23:C82)</f>
        <v>8.594</v>
      </c>
      <c r="D20" s="167"/>
      <c r="E20" s="168" t="s">
        <v>54</v>
      </c>
      <c r="F20" s="169" t="n">
        <f aca="false">($B20*$B$7+$C20*$C$7)/100</f>
        <v>21.0908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19.372</v>
      </c>
      <c r="C21" s="179" t="n">
        <f aca="false">C20*C7/100</f>
        <v>1.7188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21.0908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0.008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0.008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8.025</v>
      </c>
      <c r="C24" s="224" t="n">
        <v>3.082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5" t="e">
        <f aca="false">IF(D24="",0,VLOOKUP(D24,D$22:D23,1,0))</f>
        <v>#N/A</v>
      </c>
      <c r="F24" s="226" t="n">
        <f aca="false">($B24*$B$7+$C24*$C$7)/100</f>
        <v>7.0364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5" t="n">
        <f aca="false">IF(ISTEXT(H24),"",(B24*$B$7/100)+(C24*$C$7/100))</f>
        <v>7.0364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36</v>
      </c>
      <c r="T24" s="216" t="n">
        <f aca="false">IF(ISERROR(R24*I24*J24),0,R24*I24*J24)</f>
        <v>72</v>
      </c>
      <c r="U24" s="228" t="n">
        <f aca="false">IF(ISERROR(R24*J24),0,R24*J24)</f>
        <v>6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16</v>
      </c>
      <c r="B25" s="223" t="n">
        <v>4.075</v>
      </c>
      <c r="C25" s="224" t="n">
        <v>0.08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Hydrurus sp.</v>
      </c>
      <c r="E25" s="225" t="e">
        <f aca="false">IF(D25="",0,VLOOKUP(D25,D$22:D24,1,0))</f>
        <v>#N/A</v>
      </c>
      <c r="F25" s="226" t="n">
        <f aca="false">($B25*$B$7+$C25*$C$7)/100</f>
        <v>3.276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16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Hydrurus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6183</v>
      </c>
      <c r="Q25" s="215" t="n">
        <f aca="false">IF(ISTEXT(H25),"",(B25*$B$7/100)+(C25*$C$7/100))</f>
        <v>3.276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48</v>
      </c>
      <c r="T25" s="216" t="n">
        <f aca="false">IF(ISERROR(R25*I25*J25),0,R25*I25*J25)</f>
        <v>96</v>
      </c>
      <c r="U25" s="228" t="n">
        <f aca="false">IF(ISERROR(R25*J25),0,R25*J25)</f>
        <v>6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HYUSPX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33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10.035</v>
      </c>
      <c r="C26" s="224" t="n">
        <v>4.956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5" t="e">
        <f aca="false">IF(D26="",0,VLOOKUP(D26,D$22:D25,1,0))</f>
        <v>#N/A</v>
      </c>
      <c r="F26" s="226" t="n">
        <f aca="false">($B26*$B$7+$C26*$C$7)/100</f>
        <v>9.0192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5" t="n">
        <f aca="false">IF(ISTEXT(H26),"",(B26*$B$7/100)+(C26*$C$7/100))</f>
        <v>9.0192</v>
      </c>
      <c r="R26" s="216" t="n">
        <f aca="false">IF(OR(ISTEXT(H26),Q26=0),"",IF(Q26&lt;0.1,1,IF(Q26&lt;1,2,IF(Q26&lt;10,3,IF(Q26&lt;50,4,IF(Q26&gt;=50,5,""))))))</f>
        <v>3</v>
      </c>
      <c r="S26" s="216" t="n">
        <f aca="false">IF(ISERROR(R26*I26),0,R26*I26)</f>
        <v>39</v>
      </c>
      <c r="T26" s="216" t="n">
        <f aca="false">IF(ISERROR(R26*I26*J26),0,R26*I26*J26)</f>
        <v>78</v>
      </c>
      <c r="U26" s="228" t="n">
        <f aca="false">IF(ISERROR(R26*J26),0,R26*J26)</f>
        <v>6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0.8</v>
      </c>
      <c r="C27" s="224" t="n">
        <v>0.06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Spirogyra sp.</v>
      </c>
      <c r="E27" s="225" t="e">
        <f aca="false">IF(D27="",0,VLOOKUP(D27,D$22:D26,1,0))</f>
        <v>#N/A</v>
      </c>
      <c r="F27" s="226" t="n">
        <f aca="false">($B27*$B$7+$C27*$C$7)/100</f>
        <v>0.652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10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Spirogyra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1147</v>
      </c>
      <c r="Q27" s="215" t="n">
        <f aca="false">IF(ISTEXT(H27),"",(B27*$B$7/100)+(C27*$C$7/100))</f>
        <v>0.652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20</v>
      </c>
      <c r="T27" s="216" t="n">
        <f aca="false">IF(ISERROR(R27*I27*J27),0,R27*I27*J27)</f>
        <v>20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SPISPX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69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0.025</v>
      </c>
      <c r="C28" s="224" t="n">
        <v>0.006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Tolypothrix sp.</v>
      </c>
      <c r="E28" s="225" t="e">
        <f aca="false">IF(D28="",0,VLOOKUP(D28,D$22:D27,1,0))</f>
        <v>#N/A</v>
      </c>
      <c r="F28" s="226" t="n">
        <f aca="false">($B28*$B$7+$C28*$C$7)/100</f>
        <v>0.0212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0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Tolypothrix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6304</v>
      </c>
      <c r="Q28" s="215" t="n">
        <f aca="false">IF(ISTEXT(H28),"",(B28*$B$7/100)+(C28*$C$7/100))</f>
        <v>0.0212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TOYSPX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79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0.52</v>
      </c>
      <c r="C29" s="224" t="n">
        <v>0.2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Brachythecium rivulare</v>
      </c>
      <c r="E29" s="225" t="e">
        <f aca="false">IF(D29="",0,VLOOKUP(D29,D$22:D28,1,0))</f>
        <v>#N/A</v>
      </c>
      <c r="F29" s="226" t="n">
        <f aca="false">($B29*$B$7+$C29*$C$7)/100</f>
        <v>0.456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15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Brachythecium rivulare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1260</v>
      </c>
      <c r="Q29" s="215" t="n">
        <f aca="false">IF(ISTEXT(H29),"",(B29*$B$7/100)+(C29*$C$7/100))</f>
        <v>0.456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30</v>
      </c>
      <c r="T29" s="216" t="n">
        <f aca="false">IF(ISERROR(R29*I29*J29),0,R29*I29*J29)</f>
        <v>60</v>
      </c>
      <c r="U29" s="228" t="n">
        <f aca="false">IF(ISERROR(R29*J29),0,R29*J29)</f>
        <v>4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BRARIV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155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0.7</v>
      </c>
      <c r="C30" s="224" t="n">
        <v>0.2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Cratoneuron commutatum</v>
      </c>
      <c r="E30" s="225" t="e">
        <f aca="false">IF(D30="",0,VLOOKUP(D30,D$22:D29,1,0))</f>
        <v>#N/A</v>
      </c>
      <c r="F30" s="226" t="n">
        <f aca="false">($B30*$B$7+$C30*$C$7)/100</f>
        <v>0.6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15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Cratoneuron commutatum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1232</v>
      </c>
      <c r="Q30" s="215" t="n">
        <f aca="false">IF(ISTEXT(H30),"",(B30*$B$7/100)+(C30*$C$7/100))</f>
        <v>0.6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30</v>
      </c>
      <c r="T30" s="216" t="n">
        <f aca="false">IF(ISERROR(R30*I30*J30),0,R30*I30*J30)</f>
        <v>60</v>
      </c>
      <c r="U30" s="228" t="n">
        <f aca="false">IF(ISERROR(R30*J30),0,R30*J30)</f>
        <v>4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CRACOM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177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</v>
      </c>
      <c r="C31" s="224" t="n">
        <v>0.01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Petasites hybridus</v>
      </c>
      <c r="E31" s="225" t="e">
        <f aca="false">IF(D31="",0,VLOOKUP(D31,D$22:D30,1,0))</f>
        <v>#N/A</v>
      </c>
      <c r="F31" s="226" t="n">
        <f aca="false">($B31*$B$7+$C31*$C$7)/100</f>
        <v>0.002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PHg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9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Petasites hybridus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1745</v>
      </c>
      <c r="Q31" s="215" t="n">
        <f aca="false">IF(ISTEXT(H31),"",(B31*$B$7/100)+(C31*$C$7/100))</f>
        <v>0.002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PETHYB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788</v>
      </c>
      <c r="AA31" s="220"/>
      <c r="AB31" s="221"/>
      <c r="AC31" s="221"/>
      <c r="BB31" s="10" t="n">
        <f aca="false">IF(A31="","",1)</f>
        <v>1</v>
      </c>
    </row>
    <row r="32" customFormat="false" ht="15" hidden="false" customHeight="false" outlineLevel="0" collapsed="false">
      <c r="A32" s="222" t="s">
        <v>86</v>
      </c>
      <c r="B32" s="223" t="n">
        <v>0.025</v>
      </c>
      <c r="C32" s="224" t="n">
        <v>0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0.02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    -</v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Homoeothrix sp.</v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No</v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newcod</v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30" t="s">
        <v>87</v>
      </c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1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1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1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1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1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1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1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1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1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1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1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1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1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1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1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1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1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1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1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1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1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1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1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1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2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1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1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3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1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3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1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1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9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2"/>
      <c r="X82" s="253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4" t="s">
        <v>88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FORON DE TANINGES</v>
      </c>
      <c r="B84" s="259" t="str">
        <f aca="false">C3</f>
        <v>Foron De Taninges à Taninges</v>
      </c>
      <c r="C84" s="260" t="n">
        <f aca="false">A4</f>
        <v>41471</v>
      </c>
      <c r="D84" s="261" t="n">
        <f aca="false">IF(ISERROR(SUM($T$23:$T$82)/SUM($U$23:$U$82)),"",SUM($T$23:$T$82)/SUM($U$23:$U$82))</f>
        <v>13.5172413793103</v>
      </c>
      <c r="E84" s="262" t="n">
        <f aca="false">N13</f>
        <v>10</v>
      </c>
      <c r="F84" s="259" t="n">
        <f aca="false">N14</f>
        <v>7</v>
      </c>
      <c r="G84" s="259" t="n">
        <f aca="false">N15</f>
        <v>2</v>
      </c>
      <c r="H84" s="259" t="n">
        <f aca="false">N16</f>
        <v>5</v>
      </c>
      <c r="I84" s="259" t="n">
        <f aca="false">N17</f>
        <v>0</v>
      </c>
      <c r="J84" s="263" t="n">
        <f aca="false">N8</f>
        <v>12.4285714285714</v>
      </c>
      <c r="K84" s="261" t="n">
        <f aca="false">N9</f>
        <v>3.24509048331444</v>
      </c>
      <c r="L84" s="262" t="n">
        <f aca="false">N10</f>
        <v>6</v>
      </c>
      <c r="M84" s="262" t="n">
        <f aca="false">N11</f>
        <v>16</v>
      </c>
      <c r="N84" s="261" t="n">
        <f aca="false">O8</f>
        <v>1.71428571428571</v>
      </c>
      <c r="O84" s="261" t="n">
        <f aca="false">O9</f>
        <v>0.451753951452626</v>
      </c>
      <c r="P84" s="262" t="n">
        <f aca="false">O10</f>
        <v>1</v>
      </c>
      <c r="Q84" s="262" t="n">
        <f aca="false">O11</f>
        <v>2</v>
      </c>
      <c r="R84" s="262" t="n">
        <f aca="false">F21</f>
        <v>21.0908</v>
      </c>
      <c r="S84" s="262" t="n">
        <f aca="false">K11</f>
        <v>0</v>
      </c>
      <c r="T84" s="262" t="n">
        <f aca="false">K12</f>
        <v>6</v>
      </c>
      <c r="U84" s="262" t="n">
        <f aca="false">K13</f>
        <v>2</v>
      </c>
      <c r="V84" s="264" t="n">
        <f aca="false">K14</f>
        <v>0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89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90</v>
      </c>
      <c r="R87" s="10"/>
      <c r="S87" s="217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91</v>
      </c>
      <c r="R88" s="10"/>
      <c r="S88" s="217" t="n">
        <f aca="false">VLOOKUP((S87),($S$23:$U$82),2,0)</f>
        <v>96</v>
      </c>
      <c r="T88" s="10"/>
      <c r="U88" s="10"/>
      <c r="V88" s="10"/>
    </row>
    <row r="89" customFormat="false" ht="12.75" hidden="true" customHeight="false" outlineLevel="0" collapsed="false">
      <c r="Q89" s="10" t="s">
        <v>92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93</v>
      </c>
      <c r="R90" s="10"/>
      <c r="S90" s="268" t="n">
        <f aca="false">IF(ISERROR(SUM($T$23:$T$82)/SUM($U$23:$U$82)),"",(SUM($T$23:$T$82)-S88)/(SUM($U$23:$U$82)-S89))</f>
        <v>12.8695652173913</v>
      </c>
      <c r="T90" s="10"/>
    </row>
    <row r="91" customFormat="false" ht="12.75" hidden="false" customHeight="false" outlineLevel="0" collapsed="false">
      <c r="Q91" s="216" t="s">
        <v>94</v>
      </c>
      <c r="R91" s="216"/>
      <c r="S91" s="216" t="str">
        <f aca="false">INDEX('[1]liste reference'!$A$8:$A$904,$T$91)</f>
        <v>HYUSPX</v>
      </c>
      <c r="T91" s="10" t="n">
        <f aca="false">IF(ISERROR(MATCH($S$93,'[1]liste reference'!$A$8:$A$904,0)),MATCH($S$93,'[1]liste reference'!$B$8:$B$904,0),(MATCH($S$93,'[1]liste reference'!$A$8:$A$904,0)))</f>
        <v>33</v>
      </c>
      <c r="U91" s="257"/>
    </row>
    <row r="92" customFormat="false" ht="12.75" hidden="false" customHeight="false" outlineLevel="0" collapsed="false">
      <c r="Q92" s="10" t="s">
        <v>95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96</v>
      </c>
      <c r="R93" s="10"/>
      <c r="S93" s="216" t="str">
        <f aca="false">INDEX($A$23:$A$82,$S$92)</f>
        <v>HYUSPX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2013-12-19T11:17:07Z</dcterms:created>
  <dc:creator>Laurent Bourgoin</dc:creator>
  <dc:description/>
  <dc:language>fr-FR</dc:language>
  <cp:lastModifiedBy>Laurent Bourgoin</cp:lastModifiedBy>
  <dcterms:modified xsi:type="dcterms:W3CDTF">2013-12-19T11:17:15Z</dcterms:modified>
  <cp:revision>0</cp:revision>
  <dc:subject/>
  <dc:title/>
</cp:coreProperties>
</file>