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<sst xmlns="http://schemas.openxmlformats.org/spreadsheetml/2006/main" count="102" uniqueCount="96">
  <si>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</si>
  <si>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</si>
  <si>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</si>
  <si>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LBOURGOIN M SCHNEIDER</t>
  </si>
  <si>
    <t xml:space="preserve">conforme AFNOR T90-395 oct. 2003</t>
  </si>
  <si>
    <t xml:space="preserve">FORON DE TANINGE</t>
  </si>
  <si>
    <t xml:space="preserve">06062400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</si>
  <si>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</si>
  <si>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</si>
  <si>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</si>
  <si>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</si>
  <si>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</si>
  <si>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</si>
  <si>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</si>
  <si>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</si>
  <si>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BRARIV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</si>
  <si>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</si>
  <si>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</si>
  <si>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</si>
  <si>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</si>
  <si>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</si>
  <si>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</si>
  <si>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</si>
  <si>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</si>
  <si>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</si>
  <si>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</si>
  <si>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</si>
  <si>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</si>
  <si>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</si>
  <si>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</si>
  <si>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</si>
  <si>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 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</si>
  <si>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</si>
  <si>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</si>
  <si>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</si>
  <si>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</si>
  <si>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</si>
  <si>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</si>
  <si>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</si>
  <si>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</si>
  <si>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</si>
  <si>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</si>
  <si>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</si>
  <si>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</si>
  <si>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</si>
  <si>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</si>
  <si>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</si>
  <si>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</si>
  <si>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</si>
  <si>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</si>
  <si>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</si>
  <si>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</si>
  <si>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</si>
  <si>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</si>
  <si>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</si>
  <si>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</si>
  <si>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</si>
  <si>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</si>
  <si>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</si>
  <si>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</si>
  <si>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</si>
  <si>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</si>
  <si>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</si>
  <si>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</si>
  <si>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</si>
  <si>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</si>
  <si>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</si>
  <si>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</si>
  <si>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</si>
  <si>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</si>
  <si>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</si>
  <si>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</si>
  <si>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</si>
  <si>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</si>
  <si>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</si>
  <si>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</si>
  <si>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</si>
  <si>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MICSPX</t>
  </si>
  <si>
    <t xml:space="preserve">PHOSPX</t>
  </si>
  <si>
    <t xml:space="preserve">SPISPX</t>
  </si>
  <si>
    <t xml:space="preserve">TOYSPX</t>
  </si>
  <si>
    <t xml:space="preserve">CINDAN</t>
  </si>
  <si>
    <t xml:space="preserve">CINFON</t>
  </si>
  <si>
    <t xml:space="preserve">CRACOM</t>
  </si>
  <si>
    <t xml:space="preserve">RHYRIP</t>
  </si>
  <si>
    <t xml:space="preserve">GLYFLU</t>
  </si>
  <si>
    <t xml:space="preserve">PETHYB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</si>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</sst>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FORTA_12-08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5</v>
      </c>
      <c r="D3" s="24"/>
      <c r="E3" s="24"/>
      <c r="F3" s="25"/>
      <c r="G3" s="25"/>
      <c r="H3" s="26"/>
      <c r="I3" s="27"/>
      <c r="J3" s="26"/>
      <c r="K3" s="28" t="s">
        <v>6</v>
      </c>
      <c r="L3" s="29"/>
      <c r="M3" s="30" t="s">
        <v>7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41863</v>
      </c>
      <c r="B4" s="34"/>
      <c r="C4" s="35"/>
      <c r="D4" s="36"/>
      <c r="E4" s="36"/>
      <c r="F4" s="35"/>
      <c r="G4" s="35"/>
      <c r="H4" s="36"/>
      <c r="I4" s="37" t="s">
        <v>8</v>
      </c>
      <c r="J4" s="38"/>
      <c r="K4" s="38"/>
      <c r="L4" s="39"/>
      <c r="M4" s="39"/>
      <c r="N4" s="40" t="s">
        <v>9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10</v>
      </c>
      <c r="B5" s="44" t="s">
        <v>11</v>
      </c>
      <c r="C5" s="45" t="s">
        <v>12</v>
      </c>
      <c r="D5" s="46"/>
      <c r="E5" s="46"/>
      <c r="F5" s="47" t="s">
        <v>13</v>
      </c>
      <c r="G5" s="48"/>
      <c r="H5" s="46"/>
      <c r="I5" s="49"/>
      <c r="J5" s="50"/>
      <c r="K5" s="51" t="s">
        <v>14</v>
      </c>
      <c r="L5" s="52" t="n">
        <v>13.6071428571429</v>
      </c>
      <c r="M5" s="53"/>
      <c r="N5" s="54" t="s">
        <v>15</v>
      </c>
      <c r="O5" s="55" t="n">
        <v>13.2272727272727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12.8888888888889</v>
      </c>
      <c r="O8" s="84" t="n">
        <f aca="false">IF(ISERROR(AVERAGE(J23:J82)),"      -",AVERAGE(J23:J82))</f>
        <v>1.88888888888889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 t="n">
        <v>13.18</v>
      </c>
      <c r="C9" s="87" t="n">
        <v>23.02</v>
      </c>
      <c r="D9" s="88"/>
      <c r="E9" s="88"/>
      <c r="F9" s="89" t="n">
        <f aca="false">($B9*$B$7+$C9*$C$7)/100</f>
        <v>13.672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1.52347880008912</v>
      </c>
      <c r="O9" s="84" t="n">
        <f aca="false">IF(ISERROR(STDEVP(J23:J82)),"      -",STDEVP(J23:J82))</f>
        <v>0.566557723732532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 t="s">
        <v>31</v>
      </c>
      <c r="C10" s="98" t="s">
        <v>31</v>
      </c>
      <c r="D10" s="99"/>
      <c r="E10" s="99"/>
      <c r="F10" s="89"/>
      <c r="G10" s="90"/>
      <c r="H10" s="100"/>
      <c r="I10" s="101"/>
      <c r="J10" s="102" t="s">
        <v>32</v>
      </c>
      <c r="K10" s="102"/>
      <c r="L10" s="103"/>
      <c r="M10" s="104" t="s">
        <v>33</v>
      </c>
      <c r="N10" s="105" t="n">
        <f aca="false">MIN(I23:I82)</f>
        <v>10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34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35</v>
      </c>
      <c r="J11" s="113"/>
      <c r="K11" s="114" t="n">
        <f aca="false">COUNTIF($G$23:$G$82,"=HET")</f>
        <v>0</v>
      </c>
      <c r="L11" s="115"/>
      <c r="M11" s="104" t="s">
        <v>36</v>
      </c>
      <c r="N11" s="105" t="n">
        <f aca="false">MAX(I23:I82)</f>
        <v>15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37</v>
      </c>
      <c r="B12" s="117" t="n">
        <v>0.13</v>
      </c>
      <c r="C12" s="118" t="n">
        <v>0.01</v>
      </c>
      <c r="D12" s="110"/>
      <c r="E12" s="110"/>
      <c r="F12" s="111" t="n">
        <f aca="false">($B12*$B$7+$C12*$C$7)/100</f>
        <v>0.124</v>
      </c>
      <c r="G12" s="119"/>
      <c r="H12" s="68"/>
      <c r="I12" s="120" t="s">
        <v>38</v>
      </c>
      <c r="J12" s="120"/>
      <c r="K12" s="114" t="n">
        <f aca="false">COUNTIF($G$23:$G$82,"=ALG")</f>
        <v>4</v>
      </c>
      <c r="L12" s="121"/>
      <c r="M12" s="122"/>
      <c r="N12" s="123" t="s">
        <v>32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39</v>
      </c>
      <c r="B13" s="117" t="n">
        <v>13.03</v>
      </c>
      <c r="C13" s="118" t="n">
        <v>23</v>
      </c>
      <c r="D13" s="110"/>
      <c r="E13" s="110"/>
      <c r="F13" s="111" t="n">
        <f aca="false">($B13*$B$7+$C13*$C$7)/100</f>
        <v>13.5285</v>
      </c>
      <c r="G13" s="119"/>
      <c r="H13" s="68"/>
      <c r="I13" s="120" t="s">
        <v>40</v>
      </c>
      <c r="J13" s="120"/>
      <c r="K13" s="114" t="n">
        <f aca="false">COUNTIF($G$23:$G$82,"=BRm")+COUNTIF($G$23:$G$82,"=BRh")</f>
        <v>5</v>
      </c>
      <c r="L13" s="115"/>
      <c r="M13" s="126" t="s">
        <v>41</v>
      </c>
      <c r="N13" s="127" t="n">
        <f aca="false">COUNTIF(F23:F82,"&gt;0")</f>
        <v>11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42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43</v>
      </c>
      <c r="J14" s="120"/>
      <c r="K14" s="114" t="n">
        <f aca="false">COUNTIF($G$23:$G$82,"=PTE")+COUNTIF($G$23:$G$82,"=LIC")</f>
        <v>0</v>
      </c>
      <c r="L14" s="115"/>
      <c r="M14" s="130" t="s">
        <v>44</v>
      </c>
      <c r="N14" s="131" t="n">
        <f aca="false">COUNTIF($I$23:$I$82,"&gt;-1")</f>
        <v>9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45</v>
      </c>
      <c r="B15" s="134" t="n">
        <v>0.02</v>
      </c>
      <c r="C15" s="135" t="n">
        <v>0.01</v>
      </c>
      <c r="D15" s="110"/>
      <c r="E15" s="110"/>
      <c r="F15" s="111" t="n">
        <f aca="false">($B15*$B$7+$C15*$C$7)/100</f>
        <v>0.0195</v>
      </c>
      <c r="G15" s="119"/>
      <c r="H15" s="68"/>
      <c r="I15" s="120" t="s">
        <v>46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6" t="s">
        <v>47</v>
      </c>
      <c r="N15" s="137" t="n">
        <f aca="false">COUNTIF(J23:J82,"=1")</f>
        <v>2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48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49</v>
      </c>
      <c r="N16" s="137" t="n">
        <f aca="false">COUNTIF(J23:J82,"=2")</f>
        <v>6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50</v>
      </c>
      <c r="B17" s="117" t="n">
        <v>13.16</v>
      </c>
      <c r="C17" s="118" t="n">
        <v>23.01</v>
      </c>
      <c r="D17" s="110"/>
      <c r="E17" s="110"/>
      <c r="F17" s="142"/>
      <c r="G17" s="111" t="n">
        <f aca="false">($B17*$B$7+$C17*$C$7)/100</f>
        <v>13.6525</v>
      </c>
      <c r="H17" s="68"/>
      <c r="I17" s="120"/>
      <c r="J17" s="120"/>
      <c r="K17" s="141"/>
      <c r="L17" s="115"/>
      <c r="M17" s="136" t="s">
        <v>51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52</v>
      </c>
      <c r="B18" s="144" t="n">
        <v>0.02</v>
      </c>
      <c r="C18" s="145" t="n">
        <v>0.01</v>
      </c>
      <c r="D18" s="110"/>
      <c r="E18" s="146" t="s">
        <v>53</v>
      </c>
      <c r="F18" s="142"/>
      <c r="G18" s="111" t="n">
        <f aca="false">($B18*$B$7+$C18*$C$7)/100</f>
        <v>0.0195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13.672</v>
      </c>
      <c r="G19" s="155" t="n">
        <f aca="false">SUM(G16:G18)</f>
        <v>13.672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54</v>
      </c>
      <c r="B20" s="164" t="n">
        <f aca="false">SUM(B23:B82)</f>
        <v>13.18</v>
      </c>
      <c r="C20" s="165" t="n">
        <f aca="false">SUM(C23:C82)</f>
        <v>23.02</v>
      </c>
      <c r="D20" s="166"/>
      <c r="E20" s="167" t="s">
        <v>53</v>
      </c>
      <c r="F20" s="168" t="n">
        <f aca="false">($B20*$B$7+$C20*$C$7)/100</f>
        <v>13.672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55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56</v>
      </c>
      <c r="B21" s="178" t="n">
        <f aca="false">B20*B7/100</f>
        <v>12.521</v>
      </c>
      <c r="C21" s="178" t="n">
        <f aca="false">C20*C7/100</f>
        <v>1.151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13.672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57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58</v>
      </c>
      <c r="B22" s="189" t="s">
        <v>59</v>
      </c>
      <c r="C22" s="190" t="s">
        <v>59</v>
      </c>
      <c r="D22" s="139"/>
      <c r="E22" s="139"/>
      <c r="F22" s="191" t="s">
        <v>60</v>
      </c>
      <c r="G22" s="192" t="s">
        <v>61</v>
      </c>
      <c r="H22" s="139"/>
      <c r="I22" s="193" t="s">
        <v>62</v>
      </c>
      <c r="J22" s="193" t="s">
        <v>63</v>
      </c>
      <c r="K22" s="194" t="s">
        <v>64</v>
      </c>
      <c r="L22" s="194"/>
      <c r="M22" s="194"/>
      <c r="N22" s="194"/>
      <c r="O22" s="194"/>
      <c r="P22" s="195" t="s">
        <v>65</v>
      </c>
      <c r="Q22" s="196" t="s">
        <v>66</v>
      </c>
      <c r="R22" s="197" t="s">
        <v>67</v>
      </c>
      <c r="S22" s="198" t="s">
        <v>68</v>
      </c>
      <c r="T22" s="199" t="s">
        <v>69</v>
      </c>
      <c r="U22" s="200" t="s">
        <v>70</v>
      </c>
      <c r="V22" s="198" t="s">
        <v>71</v>
      </c>
      <c r="Y22" s="10" t="s">
        <v>72</v>
      </c>
      <c r="Z22" s="10" t="s">
        <v>73</v>
      </c>
      <c r="AA22" s="201" t="s">
        <v>74</v>
      </c>
      <c r="AB22" s="201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</v>
      </c>
      <c r="C23" s="205" t="n">
        <v>0.01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Microspora sp.</v>
      </c>
      <c r="E23" s="206" t="e">
        <f aca="false">IF(D23="",0,VLOOKUP(D23,D$22:D22,1,0))</f>
        <v>#N/A</v>
      </c>
      <c r="F23" s="207" t="n">
        <f aca="false">($B23*$B$7+$C23*$C$7)/100</f>
        <v>0.0005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12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Microspora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1132</v>
      </c>
      <c r="Q23" s="215" t="n">
        <f aca="false">IF(ISTEXT(H23),"",(B23*$B$7/100)+(C23*$C$7/100))</f>
        <v>0.0005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12</v>
      </c>
      <c r="T23" s="216" t="n">
        <f aca="false">IF(ISERROR(R23*I23*J23),0,R23*I23*J23)</f>
        <v>24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MICSPX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41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0.11</v>
      </c>
      <c r="C24" s="224" t="n">
        <v>0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5" t="e">
        <f aca="false">IF(D24="",0,VLOOKUP(D24,D$22:D23,1,0))</f>
        <v>#N/A</v>
      </c>
      <c r="F24" s="226" t="n">
        <f aca="false">($B24*$B$7+$C24*$C$7)/100</f>
        <v>0.1045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5" t="n">
        <f aca="false">IF(ISTEXT(H24),"",(B24*$B$7/100)+(C24*$C$7/100))</f>
        <v>0.1045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26</v>
      </c>
      <c r="T24" s="216" t="n">
        <f aca="false">IF(ISERROR(R24*I24*J24),0,R24*I24*J24)</f>
        <v>52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Spirogyra sp.</v>
      </c>
      <c r="E25" s="225" t="e">
        <f aca="false">IF(D25="",0,VLOOKUP(D25,D$22:D24,1,0))</f>
        <v>#N/A</v>
      </c>
      <c r="F25" s="226" t="n">
        <f aca="false">($B25*$B$7+$C25*$C$7)/100</f>
        <v>0.0095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10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Spirogyra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1147</v>
      </c>
      <c r="Q25" s="215" t="n">
        <f aca="false">IF(ISTEXT(H25),"",(B25*$B$7/100)+(C25*$C$7/100))</f>
        <v>0.0095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10</v>
      </c>
      <c r="T25" s="216" t="n">
        <f aca="false">IF(ISERROR(R25*I25*J25),0,R25*I25*J25)</f>
        <v>10</v>
      </c>
      <c r="U25" s="228" t="n">
        <f aca="false">IF(ISERROR(R25*J25),0,R25*J25)</f>
        <v>1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SPISPX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69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0.01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Tolypothrix sp.</v>
      </c>
      <c r="E26" s="225" t="e">
        <f aca="false">IF(D26="",0,VLOOKUP(D26,D$22:D25,1,0))</f>
        <v>#N/A</v>
      </c>
      <c r="F26" s="226" t="n">
        <f aca="false">($B26*$B$7+$C26*$C$7)/100</f>
        <v>0.0095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0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Tolypothrix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6304</v>
      </c>
      <c r="Q26" s="215" t="n">
        <f aca="false">IF(ISTEXT(H26),"",(B26*$B$7/100)+(C26*$C$7/100))</f>
        <v>0.0095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28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TOYSPX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79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15</v>
      </c>
      <c r="B27" s="223" t="n">
        <v>5.86</v>
      </c>
      <c r="C27" s="224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Brachythecium rivulare</v>
      </c>
      <c r="E27" s="225" t="e">
        <f aca="false">IF(D27="",0,VLOOKUP(D27,D$22:D26,1,0))</f>
        <v>#N/A</v>
      </c>
      <c r="F27" s="226" t="n">
        <f aca="false">($B27*$B$7+$C27*$C$7)/100</f>
        <v>5.567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15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Brachythecium rivulare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1260</v>
      </c>
      <c r="Q27" s="215" t="n">
        <f aca="false">IF(ISTEXT(H27),"",(B27*$B$7/100)+(C27*$C$7/100))</f>
        <v>5.567</v>
      </c>
      <c r="R27" s="216" t="n">
        <f aca="false">IF(OR(ISTEXT(H27),Q27=0),"",IF(Q27&lt;0.1,1,IF(Q27&lt;1,2,IF(Q27&lt;10,3,IF(Q27&lt;50,4,IF(Q27&gt;=50,5,""))))))</f>
        <v>3</v>
      </c>
      <c r="S27" s="216" t="n">
        <f aca="false">IF(ISERROR(R27*I27),0,R27*I27)</f>
        <v>45</v>
      </c>
      <c r="T27" s="216" t="n">
        <f aca="false">IF(ISERROR(R27*I27*J27),0,R27*I27*J27)</f>
        <v>90</v>
      </c>
      <c r="U27" s="228" t="n">
        <f aca="false">IF(ISERROR(R27*J27),0,R27*J27)</f>
        <v>6</v>
      </c>
      <c r="V27" s="217" t="str">
        <f aca="false">IF(AND(A27="",F27=0),"",IF(F27=0,"Il manque le(s) % de rec. !",""))</f>
        <v/>
      </c>
      <c r="W27" s="218"/>
      <c r="Y27" s="219" t="str">
        <f aca="false">IF(A27="new.cod","NEWCOD",IF(AND((Z27=""),ISTEXT(A27)),A27,IF(Z27="","",INDEX('[2]liste reference'!$A$8:$A$904,Z27))))</f>
        <v>BRARIV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155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0.01</v>
      </c>
      <c r="C28" s="224" t="n">
        <v>0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danubicus</v>
      </c>
      <c r="E28" s="225" t="e">
        <f aca="false">IF(D28="",0,VLOOKUP(D28,D$22:D27,1,0))</f>
        <v>#N/A</v>
      </c>
      <c r="F28" s="226" t="n">
        <f aca="false">($B28*$B$7+$C28*$C$7)/100</f>
        <v>0.0095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3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danubicus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1319</v>
      </c>
      <c r="Q28" s="215" t="n">
        <f aca="false">IF(ISTEXT(H28),"",(B28*$B$7/100)+(C28*$C$7/100))</f>
        <v>0.0095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13</v>
      </c>
      <c r="T28" s="216" t="n">
        <f aca="false">IF(ISERROR(R28*I28*J28),0,R28*I28*J28)</f>
        <v>39</v>
      </c>
      <c r="U28" s="228" t="n">
        <f aca="false">IF(ISERROR(R28*J28),0,R28*J28)</f>
        <v>3</v>
      </c>
      <c r="V28" s="217" t="str">
        <f aca="false">IF(AND(A28="",F28=0),"",IF(F28=0,"Il manque le(s) % de rec. !",""))</f>
        <v/>
      </c>
      <c r="W28" s="229"/>
      <c r="Y28" s="219" t="str">
        <f aca="false">IF(A28="new.cod","NEWCOD",IF(AND((Z28=""),ISTEXT(A28)),A28,IF(Z28="","",INDEX('[2]liste reference'!$A$8:$A$904,Z28))))</f>
        <v>CINDAN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171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0.01</v>
      </c>
      <c r="C29" s="224" t="n">
        <v>0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Cinclidotus fontinaloides</v>
      </c>
      <c r="E29" s="225" t="e">
        <f aca="false">IF(D29="",0,VLOOKUP(D29,D$22:D28,1,0))</f>
        <v>#N/A</v>
      </c>
      <c r="F29" s="226" t="n">
        <f aca="false">($B29*$B$7+$C29*$C$7)/100</f>
        <v>0.0095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12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Cinclidotus fontinaloides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1320</v>
      </c>
      <c r="Q29" s="215" t="n">
        <f aca="false">IF(ISTEXT(H29),"",(B29*$B$7/100)+(C29*$C$7/100))</f>
        <v>0.0095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12</v>
      </c>
      <c r="T29" s="216" t="n">
        <f aca="false">IF(ISERROR(R29*I29*J29),0,R29*I29*J29)</f>
        <v>24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Y29" s="219" t="str">
        <f aca="false">IF(A29="new.cod","NEWCOD",IF(AND((Z29=""),ISTEXT(A29)),A29,IF(Z29="","",INDEX('[2]liste reference'!$A$8:$A$904,Z29))))</f>
        <v>CINFON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7.15</v>
      </c>
      <c r="C30" s="224" t="n">
        <v>8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Cratoneuron commutatum</v>
      </c>
      <c r="E30" s="225" t="e">
        <f aca="false">IF(D30="",0,VLOOKUP(D30,D$22:D29,1,0))</f>
        <v>#N/A</v>
      </c>
      <c r="F30" s="226" t="n">
        <f aca="false">($B30*$B$7+$C30*$C$7)/100</f>
        <v>7.1925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15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Cratoneuron commutatum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1232</v>
      </c>
      <c r="Q30" s="215" t="n">
        <f aca="false">IF(ISTEXT(H30),"",(B30*$B$7/100)+(C30*$C$7/100))</f>
        <v>7.1925</v>
      </c>
      <c r="R30" s="216" t="n">
        <f aca="false">IF(OR(ISTEXT(H30),Q30=0),"",IF(Q30&lt;0.1,1,IF(Q30&lt;1,2,IF(Q30&lt;10,3,IF(Q30&lt;50,4,IF(Q30&gt;=50,5,""))))))</f>
        <v>3</v>
      </c>
      <c r="S30" s="216" t="n">
        <f aca="false">IF(ISERROR(R30*I30),0,R30*I30)</f>
        <v>45</v>
      </c>
      <c r="T30" s="216" t="n">
        <f aca="false">IF(ISERROR(R30*I30*J30),0,R30*I30*J30)</f>
        <v>90</v>
      </c>
      <c r="U30" s="228" t="n">
        <f aca="false">IF(ISERROR(R30*J30),0,R30*J30)</f>
        <v>6</v>
      </c>
      <c r="V30" s="217" t="str">
        <f aca="false">IF(AND(A30="",F30=0),"",IF(F30=0,"Il manque le(s) % de rec. !",""))</f>
        <v/>
      </c>
      <c r="W30" s="218"/>
      <c r="X30" s="218"/>
      <c r="Y30" s="219" t="str">
        <f aca="false">IF(A30="new.cod","NEWCOD",IF(AND((Z30=""),ISTEXT(A30)),A30,IF(Z30="","",INDEX('[2]liste reference'!$A$8:$A$904,Z30))))</f>
        <v>CRACOM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0</v>
      </c>
      <c r="C31" s="224" t="n">
        <v>15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Rhynchostegium riparioides</v>
      </c>
      <c r="E31" s="225" t="e">
        <f aca="false">IF(D31="",0,VLOOKUP(D31,D$22:D30,1,0))</f>
        <v>#N/A</v>
      </c>
      <c r="F31" s="226" t="n">
        <f aca="false">($B31*$B$7+$C31*$C$7)/100</f>
        <v>0.75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Rhynchostegium riparioides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1268</v>
      </c>
      <c r="Q31" s="215" t="n">
        <f aca="false">IF(ISTEXT(H31),"",(B31*$B$7/100)+(C31*$C$7/100))</f>
        <v>0.75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24</v>
      </c>
      <c r="T31" s="216" t="n">
        <f aca="false">IF(ISERROR(R31*I31*J31),0,R31*I31*J31)</f>
        <v>24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RHYRIP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252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23" t="n">
        <v>0.01</v>
      </c>
      <c r="C32" s="224" t="n">
        <v>0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Glyceria fluitans</v>
      </c>
      <c r="E32" s="225" t="e">
        <f aca="false">IF(D32="",0,VLOOKUP(D32,D$22:D31,1,0))</f>
        <v>#N/A</v>
      </c>
      <c r="F32" s="226" t="n">
        <f aca="false">($B32*$B$7+$C32*$C$7)/100</f>
        <v>0.0095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PHe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8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14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Glyceria fluitans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1564</v>
      </c>
      <c r="Q32" s="215" t="n">
        <f aca="false">IF(ISTEXT(H32),"",(B32*$B$7/100)+(C32*$C$7/100))</f>
        <v>0.0095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14</v>
      </c>
      <c r="T32" s="216" t="n">
        <f aca="false">IF(ISERROR(R32*I32*J32),0,R32*I32*J32)</f>
        <v>28</v>
      </c>
      <c r="U32" s="228" t="n">
        <f aca="false">IF(ISERROR(R32*J32),0,R32*J32)</f>
        <v>2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GLYFLU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575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86</v>
      </c>
      <c r="B33" s="223" t="n">
        <v>0.01</v>
      </c>
      <c r="C33" s="224" t="n">
        <v>0.01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Petasites hybridus</v>
      </c>
      <c r="E33" s="225" t="e">
        <f aca="false">IF(D33="",0,VLOOKUP(D33,D$22:D32,1,0))</f>
        <v>#N/A</v>
      </c>
      <c r="F33" s="226" t="n">
        <f aca="false">($B33*$B$7+$C33*$C$7)/100</f>
        <v>0.01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PHg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9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Petasites hybridus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1745</v>
      </c>
      <c r="Q33" s="215" t="n">
        <f aca="false">IF(ISTEXT(H33),"",(B33*$B$7/100)+(C33*$C$7/100))</f>
        <v>0.01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PETHYB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788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87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FORON DE TANINGE</v>
      </c>
      <c r="B84" s="258" t="str">
        <f aca="false">C3</f>
        <v>FORON DE TANINGE</v>
      </c>
      <c r="C84" s="259" t="n">
        <f aca="false">A4</f>
        <v>41863</v>
      </c>
      <c r="D84" s="260" t="n">
        <f aca="false">IF(ISERROR(SUM($T$23:$T$82)/SUM($U$23:$U$82)),"",SUM($T$23:$T$82)/SUM($U$23:$U$82))</f>
        <v>13.6071428571429</v>
      </c>
      <c r="E84" s="261" t="n">
        <f aca="false">N13</f>
        <v>11</v>
      </c>
      <c r="F84" s="258" t="n">
        <f aca="false">N14</f>
        <v>9</v>
      </c>
      <c r="G84" s="258" t="n">
        <f aca="false">N15</f>
        <v>2</v>
      </c>
      <c r="H84" s="258" t="n">
        <f aca="false">N16</f>
        <v>6</v>
      </c>
      <c r="I84" s="258" t="n">
        <f aca="false">N17</f>
        <v>1</v>
      </c>
      <c r="J84" s="262" t="n">
        <f aca="false">N8</f>
        <v>12.8888888888889</v>
      </c>
      <c r="K84" s="260" t="n">
        <f aca="false">N9</f>
        <v>1.52347880008912</v>
      </c>
      <c r="L84" s="261" t="n">
        <f aca="false">N10</f>
        <v>10</v>
      </c>
      <c r="M84" s="261" t="n">
        <f aca="false">N11</f>
        <v>15</v>
      </c>
      <c r="N84" s="260" t="n">
        <f aca="false">O8</f>
        <v>1.88888888888889</v>
      </c>
      <c r="O84" s="260" t="n">
        <f aca="false">O9</f>
        <v>0.566557723732532</v>
      </c>
      <c r="P84" s="261" t="n">
        <f aca="false">O10</f>
        <v>1</v>
      </c>
      <c r="Q84" s="261" t="n">
        <f aca="false">O11</f>
        <v>3</v>
      </c>
      <c r="R84" s="261" t="n">
        <f aca="false">F21</f>
        <v>13.672</v>
      </c>
      <c r="S84" s="261" t="n">
        <f aca="false">K11</f>
        <v>0</v>
      </c>
      <c r="T84" s="261" t="n">
        <f aca="false">K12</f>
        <v>4</v>
      </c>
      <c r="U84" s="261" t="n">
        <f aca="false">K13</f>
        <v>5</v>
      </c>
      <c r="V84" s="263" t="n">
        <f aca="false">K14</f>
        <v>0</v>
      </c>
      <c r="W84" s="264" t="n">
        <f aca="false">K15</f>
        <v>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88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7" t="n">
        <f aca="false">IF(ISERROR(SUM($T$23:$T$82)/SUM($U$23:$U$82)),"",(SUM($T$23:$T$82)-S88)/(SUM($U$23:$U$82)-S89))</f>
        <v>13.2272727272727</v>
      </c>
      <c r="T90" s="10"/>
    </row>
    <row r="91" customFormat="false" ht="12.75" hidden="false" customHeight="false" outlineLevel="0" collapsed="false">
      <c r="Q91" s="216" t="s">
        <v>93</v>
      </c>
      <c r="R91" s="216"/>
      <c r="S91" s="216" t="str">
        <f aca="false">INDEX('[2]liste reference'!$A$8:$A$904,$T$91)</f>
        <v>BRARIV</v>
      </c>
      <c r="T91" s="10" t="n">
        <f aca="false">IF(ISERROR(MATCH($S$93,'[2]liste reference'!$A$8:$A$904,0)),MATCH($S$93,'[2]liste reference'!$B$8:$B$904,0),(MATCH($S$93,'[2]liste reference'!$A$8:$A$904,0)))</f>
        <v>155</v>
      </c>
      <c r="U91" s="256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6" t="s">
        <v>95</v>
      </c>
      <c r="R93" s="10"/>
      <c r="S93" s="216" t="str">
        <f aca="false">INDEX($A$23:$A$82,$S$92)</f>
        <v>BRARIV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2015-03-17T12:27:07Z</dcterms:created>
  <dc:creator>Laurent Bourgoin</dc:creator>
  <dc:description/>
  <dc:language>fr-FR</dc:language>
  <cp:lastModifiedBy>Laurent Bourgoin</cp:lastModifiedBy>
  <dcterms:modified xsi:type="dcterms:W3CDTF">2015-03-17T12:27:17Z</dcterms:modified>
  <cp:revision>0</cp:revision>
  <dc:subject/>
  <dc:title/>
</cp:coreProperties>
</file>