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<sst xmlns="http://schemas.openxmlformats.org/spreadsheetml/2006/main" count="99" uniqueCount="94">
  <si>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</si>
  <si>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</si>
  <si>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</si>
  <si>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S.RENAHY</t>
  </si>
  <si>
    <t xml:space="preserve">conforme AFNOR T90-395 oct. 2003</t>
  </si>
  <si>
    <t xml:space="preserve">Giffre</t>
  </si>
  <si>
    <t xml:space="preserve">Giffre à Taninges</t>
  </si>
  <si>
    <t xml:space="preserve">06062600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</si>
  <si>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</si>
  <si>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</si>
  <si>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</si>
  <si>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</si>
  <si>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</si>
  <si>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</si>
  <si>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</si>
  <si>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</si>
  <si>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HYGLUR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</si>
  <si>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</si>
  <si>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</si>
  <si>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</si>
  <si>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</si>
  <si>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</si>
  <si>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</si>
  <si>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</si>
  <si>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</si>
  <si>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</si>
  <si>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</si>
  <si>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</si>
  <si>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</si>
  <si>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</si>
  <si>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</si>
  <si>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</si>
  <si>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</si>
  <si>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</si>
  <si>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</si>
  <si>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</si>
  <si>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</si>
  <si>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</si>
  <si>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</si>
  <si>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</si>
  <si>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</si>
  <si>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</si>
  <si>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</si>
  <si>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</si>
  <si>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</si>
  <si>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</si>
  <si>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</si>
  <si>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</si>
  <si>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</si>
  <si>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</si>
  <si>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</si>
  <si>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</si>
  <si>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</si>
  <si>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</si>
  <si>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</si>
  <si>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</si>
  <si>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</si>
  <si>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</si>
  <si>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</si>
  <si>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</si>
  <si>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</si>
  <si>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</si>
  <si>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</si>
  <si>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</si>
  <si>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</si>
  <si>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</si>
  <si>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</si>
  <si>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</si>
  <si>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</si>
  <si>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</si>
  <si>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</si>
  <si>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</si>
  <si>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</si>
  <si>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</si>
  <si>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</si>
  <si>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</si>
  <si>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</si>
  <si>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</si>
  <si>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CONCON</t>
  </si>
  <si>
    <t xml:space="preserve">JUGATR</t>
  </si>
  <si>
    <t xml:space="preserve">CINFON</t>
  </si>
  <si>
    <t xml:space="preserve">DIHPEL</t>
  </si>
  <si>
    <t xml:space="preserve">FISCRA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</si>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</sst>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GITAN_02-10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41549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15.8125</v>
      </c>
      <c r="M5" s="53"/>
      <c r="N5" s="54" t="s">
        <v>16</v>
      </c>
      <c r="O5" s="55" t="n">
        <v>13.9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14</v>
      </c>
      <c r="O8" s="84" t="n">
        <f aca="false">IF(ISERROR(AVERAGE(J23:J82)),"      -",AVERAGE(J23:J82))</f>
        <v>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0.04</v>
      </c>
      <c r="C9" s="87" t="n">
        <v>68.13</v>
      </c>
      <c r="D9" s="88"/>
      <c r="E9" s="88"/>
      <c r="F9" s="89" t="n">
        <f aca="false">($B9*$B$7+$C9*$C$7)/100</f>
        <v>0.7209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3.60555127546399</v>
      </c>
      <c r="O9" s="84" t="n">
        <f aca="false">IF(ISERROR(STDEVP(J23:J82)),"      -",STDEVP(J23:J82))</f>
        <v>0.816496580927726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/>
      <c r="D12" s="111"/>
      <c r="E12" s="111"/>
      <c r="F12" s="112" t="n">
        <f aca="false">($B12*$B$7+$C12*$C$7)/100</f>
        <v>0</v>
      </c>
      <c r="G12" s="120"/>
      <c r="H12" s="68"/>
      <c r="I12" s="121" t="s">
        <v>39</v>
      </c>
      <c r="J12" s="121"/>
      <c r="K12" s="115" t="n">
        <f aca="false">COUNTIF($G$23:$G$82,"=ALG")</f>
        <v>0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0.04</v>
      </c>
      <c r="C13" s="119" t="n">
        <v>68.13</v>
      </c>
      <c r="D13" s="111"/>
      <c r="E13" s="111"/>
      <c r="F13" s="112" t="n">
        <f aca="false">($B13*$B$7+$C13*$C$7)/100</f>
        <v>0.7209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8</v>
      </c>
      <c r="L13" s="116"/>
      <c r="M13" s="127" t="s">
        <v>42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6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0.04</v>
      </c>
      <c r="C17" s="119" t="n">
        <v>68.13</v>
      </c>
      <c r="D17" s="111"/>
      <c r="E17" s="111"/>
      <c r="F17" s="143"/>
      <c r="G17" s="112" t="n">
        <f aca="false">($B17*$B$7+$C17*$C$7)/100</f>
        <v>0.7209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0.7209</v>
      </c>
      <c r="G19" s="156" t="n">
        <f aca="false">SUM(G16:G18)</f>
        <v>0.7209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0.04</v>
      </c>
      <c r="C20" s="166" t="n">
        <f aca="false">SUM(C23:C82)</f>
        <v>68.13</v>
      </c>
      <c r="D20" s="167"/>
      <c r="E20" s="168" t="s">
        <v>54</v>
      </c>
      <c r="F20" s="169" t="n">
        <f aca="false">($B20*$B$7+$C20*$C$7)/100</f>
        <v>0.7209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0.0396</v>
      </c>
      <c r="C21" s="179" t="n">
        <f aca="false">C20*C7/100</f>
        <v>0.6813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0.7209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Conocephalum conicum</v>
      </c>
      <c r="E23" s="207" t="e">
        <f aca="false">IF(D23="",0,VLOOKUP(D23,D$22:D22,1,0))</f>
        <v>#N/A</v>
      </c>
      <c r="F23" s="208" t="n">
        <f aca="false">($B23*$B$7+$C23*$C$7)/100</f>
        <v>0.01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BRh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4</v>
      </c>
      <c r="I23" s="211" t="str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/>
      </c>
      <c r="J23" s="211" t="str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/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Conocephalum conicum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1176</v>
      </c>
      <c r="Q23" s="216" t="n">
        <f aca="false">IF(ISTEXT(H23),"",(B23*$B$7/100)+(C23*$C$7/100))</f>
        <v>0.01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0</v>
      </c>
      <c r="T23" s="217" t="n">
        <f aca="false">IF(ISERROR(R23*I23*J23),0,R23*I23*J23)</f>
        <v>0</v>
      </c>
      <c r="U23" s="217" t="n">
        <f aca="false">IF(ISERROR(R23*J23),0,R23*J23)</f>
        <v>0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CONCON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99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Jungermannia atrovirens</v>
      </c>
      <c r="E24" s="226" t="e">
        <f aca="false">IF(D24="",0,VLOOKUP(D24,D$22:D23,1,0))</f>
        <v>#N/A</v>
      </c>
      <c r="F24" s="227" t="n">
        <f aca="false">($B24*$B$7+$C24*$C$7)/100</f>
        <v>0.0001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BRh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4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19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3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Jungermannia atrovirens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19820</v>
      </c>
      <c r="Q24" s="216" t="n">
        <f aca="false">IF(ISTEXT(H24),"",(B24*$B$7/100)+(C24*$C$7/100))</f>
        <v>0.0001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19</v>
      </c>
      <c r="T24" s="217" t="n">
        <f aca="false">IF(ISERROR(R24*I24*J24),0,R24*I24*J24)</f>
        <v>57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JUGATR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101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Cinclidotus fontinaloides</v>
      </c>
      <c r="E25" s="226" t="e">
        <f aca="false">IF(D25="",0,VLOOKUP(D25,D$22:D24,1,0))</f>
        <v>#N/A</v>
      </c>
      <c r="F25" s="227" t="n">
        <f aca="false">($B25*$B$7+$C25*$C$7)/100</f>
        <v>0.0001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Cinclidotus fontinaloides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1320</v>
      </c>
      <c r="Q25" s="216" t="n">
        <f aca="false">IF(ISTEXT(H25),"",(B25*$B$7/100)+(C25*$C$7/100))</f>
        <v>0.0001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12</v>
      </c>
      <c r="T25" s="217" t="n">
        <f aca="false">IF(ISERROR(R25*I25*J25),0,R25*I25*J25)</f>
        <v>24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CINFON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172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10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Dichodontium pellucidum</v>
      </c>
      <c r="E26" s="226" t="e">
        <f aca="false">IF(D26="",0,VLOOKUP(D26,D$22:D25,1,0))</f>
        <v>#N/A</v>
      </c>
      <c r="F26" s="227" t="n">
        <f aca="false">($B26*$B$7+$C26*$C$7)/100</f>
        <v>0.1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BRm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5</v>
      </c>
      <c r="I26" s="211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1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Dichodontium pellucidum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1278</v>
      </c>
      <c r="Q26" s="216" t="n">
        <f aca="false">IF(ISTEXT(H26),"",(B26*$B$7/100)+(C26*$C$7/100))</f>
        <v>0.1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DIHPEL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182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3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Fissidens crassipes</v>
      </c>
      <c r="E27" s="226" t="e">
        <f aca="false">IF(D27="",0,VLOOKUP(D27,D$22:D26,1,0))</f>
        <v>#N/A</v>
      </c>
      <c r="F27" s="227" t="n">
        <f aca="false">($B27*$B$7+$C27*$C$7)/100</f>
        <v>0.0399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BRm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5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Fissidens crassipes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1294</v>
      </c>
      <c r="Q27" s="216" t="n">
        <f aca="false">IF(ISTEXT(H27),"",(B27*$B$7/100)+(C27*$C$7/100))</f>
        <v>0.0399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FISCRA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0.001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1310</v>
      </c>
      <c r="Q28" s="216" t="n">
        <f aca="false">IF(ISTEXT(H28),"",(B28*$B$7/100)+(C28*$C$7/100))</f>
        <v>0.001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FONANT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0.01</v>
      </c>
      <c r="C29" s="225" t="n">
        <v>15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Hygrohypnum luridum</v>
      </c>
      <c r="E29" s="226" t="e">
        <f aca="false">IF(D29="",0,VLOOKUP(D29,D$22:D28,1,0))</f>
        <v>#N/A</v>
      </c>
      <c r="F29" s="227" t="n">
        <f aca="false">($B29*$B$7+$C29*$C$7)/100</f>
        <v>0.1599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19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Hygrohypnum luridum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1240</v>
      </c>
      <c r="Q29" s="216" t="n">
        <f aca="false">IF(ISTEXT(H29),"",(B29*$B$7/100)+(C29*$C$7/100))</f>
        <v>0.1599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38</v>
      </c>
      <c r="T29" s="217" t="n">
        <f aca="false">IF(ISERROR(R29*I29*J29),0,R29*I29*J29)</f>
        <v>114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HYGLUR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219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40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Rhynchostegium riparioides</v>
      </c>
      <c r="E30" s="226" t="e">
        <f aca="false">IF(D30="",0,VLOOKUP(D30,D$22:D29,1,0))</f>
        <v>#N/A</v>
      </c>
      <c r="F30" s="227" t="n">
        <f aca="false">($B30*$B$7+$C30*$C$7)/100</f>
        <v>0.4099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Rhynchostegium riparioides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1268</v>
      </c>
      <c r="Q30" s="216" t="n">
        <f aca="false">IF(ISTEXT(H30),"",(B30*$B$7/100)+(C30*$C$7/100))</f>
        <v>0.4099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24</v>
      </c>
      <c r="T30" s="217" t="n">
        <f aca="false">IF(ISERROR(R30*I30*J30),0,R30*I30*J30)</f>
        <v>24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RHYRIP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252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Giffre</v>
      </c>
      <c r="B84" s="259" t="str">
        <f aca="false">C3</f>
        <v>Giffre à Taninges</v>
      </c>
      <c r="C84" s="260" t="n">
        <f aca="false">A4</f>
        <v>41549</v>
      </c>
      <c r="D84" s="261" t="n">
        <f aca="false">IF(ISERROR(SUM($T$23:$T$82)/SUM($U$23:$U$82)),"",SUM($T$23:$T$82)/SUM($U$23:$U$82))</f>
        <v>15.8125</v>
      </c>
      <c r="E84" s="262" t="n">
        <f aca="false">N13</f>
        <v>8</v>
      </c>
      <c r="F84" s="259" t="n">
        <f aca="false">N14</f>
        <v>6</v>
      </c>
      <c r="G84" s="259" t="n">
        <f aca="false">N15</f>
        <v>2</v>
      </c>
      <c r="H84" s="259" t="n">
        <f aca="false">N16</f>
        <v>2</v>
      </c>
      <c r="I84" s="259" t="n">
        <f aca="false">N17</f>
        <v>2</v>
      </c>
      <c r="J84" s="263" t="n">
        <f aca="false">N8</f>
        <v>14</v>
      </c>
      <c r="K84" s="261" t="n">
        <f aca="false">N9</f>
        <v>3.60555127546399</v>
      </c>
      <c r="L84" s="262" t="n">
        <f aca="false">N10</f>
        <v>10</v>
      </c>
      <c r="M84" s="262" t="n">
        <f aca="false">N11</f>
        <v>19</v>
      </c>
      <c r="N84" s="261" t="n">
        <f aca="false">O8</f>
        <v>2</v>
      </c>
      <c r="O84" s="261" t="n">
        <f aca="false">O9</f>
        <v>0.816496580927726</v>
      </c>
      <c r="P84" s="262" t="n">
        <f aca="false">O10</f>
        <v>1</v>
      </c>
      <c r="Q84" s="262" t="n">
        <f aca="false">O11</f>
        <v>3</v>
      </c>
      <c r="R84" s="262" t="n">
        <f aca="false">F21</f>
        <v>0.7209</v>
      </c>
      <c r="S84" s="262" t="n">
        <f aca="false">K11</f>
        <v>0</v>
      </c>
      <c r="T84" s="262" t="n">
        <f aca="false">K12</f>
        <v>0</v>
      </c>
      <c r="U84" s="262" t="n">
        <f aca="false">K13</f>
        <v>8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86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8" t="n">
        <f aca="false">VLOOKUP(MAX($S$23:$S$82),($S$23:$U$82),1,0)</f>
        <v>38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8" t="n">
        <f aca="false">VLOOKUP((S87),($S$23:$U$82),2,0)</f>
        <v>114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8" t="n">
        <f aca="false">IF(ISERROR(SUM($T$23:$T$82)/SUM($U$23:$U$82)),"",(SUM($T$23:$T$82)-S88)/(SUM($U$23:$U$82)-S89))</f>
        <v>13.9</v>
      </c>
      <c r="T90" s="10"/>
    </row>
    <row r="91" customFormat="false" ht="12.75" hidden="false" customHeight="false" outlineLevel="0" collapsed="false">
      <c r="Q91" s="217" t="s">
        <v>91</v>
      </c>
      <c r="R91" s="217"/>
      <c r="S91" s="217" t="str">
        <f aca="false">INDEX('[1]liste reference'!$A$8:$A$904,$T$91)</f>
        <v>HYGLUR</v>
      </c>
      <c r="T91" s="10" t="n">
        <f aca="false">IF(ISERROR(MATCH($S$93,'[1]liste reference'!$A$8:$A$904,0)),MATCH($S$93,'[1]liste reference'!$B$8:$B$904,0),(MATCH($S$93,'[1]liste reference'!$A$8:$A$904,0)))</f>
        <v>219</v>
      </c>
      <c r="U91" s="257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93</v>
      </c>
      <c r="R93" s="10"/>
      <c r="S93" s="217" t="str">
        <f aca="false">INDEX($A$23:$A$82,$S$92)</f>
        <v>HYGLUR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2013-12-06T10:56:49Z</dcterms:created>
  <dc:creator>Laurent Bourgoin</dc:creator>
  <dc:description/>
  <dc:language>fr-FR</dc:language>
  <cp:lastModifiedBy>Laurent Bourgoin</cp:lastModifiedBy>
  <dcterms:modified xsi:type="dcterms:W3CDTF">2013-12-06T10:59:08Z</dcterms:modified>
  <cp:revision>0</cp:revision>
  <dc:subject/>
  <dc:title/>
</cp:coreProperties>
</file>