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<sst xmlns="http://schemas.openxmlformats.org/spreadsheetml/2006/main" count="167" uniqueCount="101">
  <si>
    <t xml:space="preserve">Relevés floristiques aquatiques - IBMR</t>
  </si>
  <si>
    <t xml:space="preserve">modèle Irstea-GIS</t>
  </si>
  <si>
    <t xml:space="preserve">SAGE ENVIRONNEMENT</t>
  </si>
  <si>
    <t xml:space="preserve">M.SCHNEIDER L. BOURGOIN</t>
  </si>
  <si>
    <t xml:space="preserve">GIFFRE</t>
  </si>
  <si>
    <t xml:space="preserve">GIFFRE A TANINGES</t>
  </si>
  <si>
    <t xml:space="preserve">06062600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</si>
  <si>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</si>
  <si>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</si>
  <si>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</si>
  <si>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</si>
  <si>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</si>
  <si>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</si>
  <si>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</si>
  <si>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</si>
  <si>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</si>
  <si>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MICSPX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</si>
  <si>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</si>
  <si>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</si>
  <si>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</si>
  <si>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</si>
  <si>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</si>
  <si>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</si>
  <si>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</si>
  <si>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</si>
  <si>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</si>
  <si>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</si>
  <si>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</si>
  <si>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</si>
  <si>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</si>
  <si>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</si>
  <si>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</si>
  <si>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</si>
  <si>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</si>
  <si>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</si>
  <si>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</si>
  <si>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</si>
  <si>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</si>
  <si>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</si>
  <si>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</si>
  <si>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</si>
  <si>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</si>
  <si>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</si>
  <si>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</si>
  <si>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</si>
  <si>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</si>
  <si>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</si>
  <si>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</si>
  <si>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</si>
  <si>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</si>
  <si>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</si>
  <si>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</si>
  <si>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</si>
  <si>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</si>
  <si>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</si>
  <si>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</si>
  <si>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</si>
  <si>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</si>
  <si>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</si>
  <si>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</si>
  <si>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</si>
  <si>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</si>
  <si>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</si>
  <si>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</si>
  <si>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</si>
  <si>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</si>
  <si>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</si>
  <si>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</si>
  <si>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</si>
  <si>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</si>
  <si>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</si>
  <si>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</si>
  <si>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</si>
  <si>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</si>
  <si>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</si>
  <si>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</si>
  <si>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</si>
  <si>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</si>
  <si>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</si>
  <si>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</si>
  <si>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PHOSPX</t>
  </si>
  <si>
    <t xml:space="preserve">ULOSPX</t>
  </si>
  <si>
    <t xml:space="preserve">VAUSPX</t>
  </si>
  <si>
    <t xml:space="preserve">BRARIV</t>
  </si>
  <si>
    <t xml:space="preserve">BRYPSE</t>
  </si>
  <si>
    <t xml:space="preserve">CINRIP</t>
  </si>
  <si>
    <t xml:space="preserve">FISCRA</t>
  </si>
  <si>
    <t xml:space="preserve">FONANT</t>
  </si>
  <si>
    <t xml:space="preserve">LEORIP</t>
  </si>
  <si>
    <t xml:space="preserve">PALCOM</t>
  </si>
  <si>
    <t xml:space="preserve">RHYRIP</t>
  </si>
  <si>
    <t xml:space="preserve">newcod</t>
  </si>
  <si>
    <t xml:space="preserve">Homalothecium sericeum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</si>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</sst>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ITAN_25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42180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11.4444444444444</v>
      </c>
      <c r="N5" s="51"/>
      <c r="O5" s="52" t="s">
        <v>16</v>
      </c>
      <c r="P5" s="53" t="n">
        <v>11.375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7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99</v>
      </c>
      <c r="C7" s="69" t="n">
        <v>1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</v>
      </c>
      <c r="P8" s="83" t="n">
        <f aca="false">IF(ISERROR(AVERAGE(K23:K82)),"  ",AVERAGE(K23:K82))</f>
        <v>1.63636363636364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0.11</v>
      </c>
      <c r="C9" s="86" t="n">
        <v>4.08</v>
      </c>
      <c r="D9" s="87"/>
      <c r="E9" s="87"/>
      <c r="F9" s="88" t="n">
        <f aca="false">($B9*$B$7+$C9*$C$7)/100</f>
        <v>0.1497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3.43775825476164</v>
      </c>
      <c r="P9" s="83" t="n">
        <f aca="false">IF(ISERROR(STDEVP(K23:K82)),"  ",STDEVP(K23:K82))</f>
        <v>0.481045692920835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0.02</v>
      </c>
      <c r="C12" s="111" t="n">
        <v>0.03</v>
      </c>
      <c r="D12" s="87"/>
      <c r="E12" s="87"/>
      <c r="F12" s="104" t="n">
        <f aca="false">($B12*$B$7+$C12*$C$7)/100</f>
        <v>0.0201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0.09</v>
      </c>
      <c r="C13" s="111" t="n">
        <v>4.05</v>
      </c>
      <c r="D13" s="87"/>
      <c r="E13" s="87"/>
      <c r="F13" s="104" t="n">
        <f aca="false">($B13*$B$7+$C13*$C$7)/100</f>
        <v>0.1296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8</v>
      </c>
      <c r="M13" s="108"/>
      <c r="N13" s="116" t="s">
        <v>41</v>
      </c>
      <c r="O13" s="117" t="n">
        <f aca="false">COUNTIF(F23:F82,"&gt;0")</f>
        <v>13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11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7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0.11</v>
      </c>
      <c r="C17" s="111" t="n">
        <v>4.08</v>
      </c>
      <c r="D17" s="87"/>
      <c r="E17" s="87"/>
      <c r="F17" s="129"/>
      <c r="G17" s="130" t="n">
        <f aca="false">($B17*$B$7+$C17*$C$7)/100</f>
        <v>0.1497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0.923076923076923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0.1497</v>
      </c>
      <c r="G19" s="150" t="n">
        <f aca="false">SUM(G16:G18)</f>
        <v>0.1497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0.11</v>
      </c>
      <c r="C20" s="160" t="n">
        <f aca="false">SUM(C23:C62)</f>
        <v>4.08</v>
      </c>
      <c r="D20" s="161"/>
      <c r="E20" s="162" t="s">
        <v>54</v>
      </c>
      <c r="F20" s="163" t="n">
        <f aca="false">($B20*$B$7+$C20*$C$7)/100</f>
        <v>0.1497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0.1089</v>
      </c>
      <c r="C21" s="171" t="n">
        <f aca="false">C20*C7/100</f>
        <v>0.0408</v>
      </c>
      <c r="D21" s="172" t="s">
        <v>57</v>
      </c>
      <c r="E21" s="173"/>
      <c r="F21" s="174" t="n">
        <f aca="false">B21+C21</f>
        <v>0.1497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Microspora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12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Microspora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1132</v>
      </c>
      <c r="R23" s="211" t="n">
        <f aca="false">IF(ISTEXT(H23),"",(B23*$B$7/100)+(C23*$C$7/100))</f>
        <v>0.01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12</v>
      </c>
      <c r="U23" s="212" t="n">
        <f aca="false">IF(ISERROR(S23*J23*K23),0,S23*J23*K23)</f>
        <v>24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MICSPX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66</v>
      </c>
    </row>
    <row r="24" customFormat="false" ht="12.75" hidden="false" customHeight="false" outlineLevel="0" collapsed="false">
      <c r="A24" s="216" t="s">
        <v>80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Phormidium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0.0099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Phormidium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6414</v>
      </c>
      <c r="R24" s="211" t="n">
        <f aca="false">IF(ISTEXT(H24),"",(B24*$B$7/100)+(C24*$C$7/100))</f>
        <v>0.0099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PHOSPX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88</v>
      </c>
    </row>
    <row r="25" customFormat="false" ht="12.75" hidden="false" customHeight="false" outlineLevel="0" collapsed="false">
      <c r="A25" s="216" t="s">
        <v>81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Ulothrix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Ulothrix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1142</v>
      </c>
      <c r="R25" s="211" t="n">
        <f aca="false">IF(ISTEXT(H25),"",(B25*$B$7/100)+(C25*$C$7/100))</f>
        <v>0.0001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ULOSPX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116</v>
      </c>
    </row>
    <row r="26" customFormat="false" ht="12.75" hidden="false" customHeight="false" outlineLevel="0" collapsed="false">
      <c r="A26" s="216" t="s">
        <v>82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0.0001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0.0001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4</v>
      </c>
      <c r="U26" s="212" t="n">
        <f aca="false">IF(ISERROR(S26*J26*K26),0,S26*J26*K26)</f>
        <v>4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83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Brachythecium rivulare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0.0099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Brachythecium rivulare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1260</v>
      </c>
      <c r="R27" s="211" t="n">
        <f aca="false">IF(ISTEXT(H27),"",(B27*$B$7/100)+(C27*$C$7/100))</f>
        <v>0.0099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BRARIV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203</v>
      </c>
    </row>
    <row r="28" customFormat="false" ht="12.75" hidden="false" customHeight="false" outlineLevel="0" collapsed="false">
      <c r="A28" s="216" t="s">
        <v>84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Bryum pseudotriquetrum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Bryum pseudotriquetrum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1274</v>
      </c>
      <c r="R28" s="211" t="n">
        <f aca="false">IF(ISTEXT(H28),"",(B28*$B$7/100)+(C28*$C$7/100))</f>
        <v>0.0001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BRYPSE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211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Cinclidotus riparius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0.0099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13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Cinclidotus riparius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1321</v>
      </c>
      <c r="R29" s="211" t="n">
        <f aca="false">IF(ISTEXT(H29),"",(B29*$B$7/100)+(C29*$C$7/100))</f>
        <v>0.0099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13</v>
      </c>
      <c r="U29" s="212" t="n">
        <f aca="false">IF(ISERROR(S29*J29*K29),0,S29*J29*K29)</f>
        <v>26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CINRIP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224</v>
      </c>
    </row>
    <row r="30" customFormat="false" ht="12.75" hidden="false" customHeight="false" outlineLevel="0" collapsed="false">
      <c r="A30" s="216" t="s">
        <v>86</v>
      </c>
      <c r="B30" s="217" t="n">
        <v>0.01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Fissidens crassipes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Fissidens crassipes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1294</v>
      </c>
      <c r="R30" s="211" t="n">
        <f aca="false">IF(ISTEXT(H30),"",(B30*$B$7/100)+(C30*$C$7/100))</f>
        <v>0.01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12</v>
      </c>
      <c r="U30" s="212" t="n">
        <f aca="false">IF(ISERROR(S30*J30*K30),0,S30*J30*K30)</f>
        <v>24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FISCRA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255</v>
      </c>
    </row>
    <row r="31" customFormat="false" ht="12.75" hidden="false" customHeight="false" outlineLevel="0" collapsed="false">
      <c r="A31" s="216" t="s">
        <v>87</v>
      </c>
      <c r="B31" s="217" t="n">
        <v>0.01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Fontinalis antipyretica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0.0099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10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Fontinalis antipyretica</v>
      </c>
      <c r="M31" s="225"/>
      <c r="N31" s="225"/>
      <c r="O31" s="225"/>
      <c r="P31" s="226" t="s">
        <v>79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1310</v>
      </c>
      <c r="R31" s="211" t="n">
        <f aca="false">IF(ISTEXT(H31),"",(B31*$B$7/100)+(C31*$C$7/100))</f>
        <v>0.0099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10</v>
      </c>
      <c r="U31" s="212" t="n">
        <f aca="false">IF(ISERROR(S31*J31*K31),0,S31*J31*K31)</f>
        <v>10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FONANT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273</v>
      </c>
    </row>
    <row r="32" customFormat="false" ht="12.75" hidden="false" customHeight="false" outlineLevel="0" collapsed="false">
      <c r="A32" s="216" t="s">
        <v>88</v>
      </c>
      <c r="B32" s="217" t="n">
        <v>0</v>
      </c>
      <c r="C32" s="218" t="n">
        <v>1.4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Leptodictyum riparium 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0.014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5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Leptodictyum riparium </v>
      </c>
      <c r="M32" s="225"/>
      <c r="N32" s="225"/>
      <c r="O32" s="225"/>
      <c r="P32" s="226" t="s">
        <v>79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1244</v>
      </c>
      <c r="R32" s="211" t="n">
        <f aca="false">IF(ISTEXT(H32),"",(B32*$B$7/100)+(C32*$C$7/100))</f>
        <v>0.014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5</v>
      </c>
      <c r="U32" s="212" t="n">
        <f aca="false">IF(ISERROR(S32*J32*K32),0,S32*J32*K32)</f>
        <v>10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LEORIP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298</v>
      </c>
    </row>
    <row r="33" customFormat="false" ht="12.75" hidden="false" customHeight="false" outlineLevel="0" collapsed="false">
      <c r="A33" s="216" t="s">
        <v>89</v>
      </c>
      <c r="B33" s="217" t="n">
        <v>0.01</v>
      </c>
      <c r="C33" s="218" t="n">
        <v>0.11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Palustriella commutata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0.011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Palustriella commutata</v>
      </c>
      <c r="M33" s="225"/>
      <c r="N33" s="225"/>
      <c r="O33" s="225"/>
      <c r="P33" s="226" t="s">
        <v>79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19903</v>
      </c>
      <c r="R33" s="211" t="n">
        <f aca="false">IF(ISTEXT(H33),"",(B33*$B$7/100)+(C33*$C$7/100))</f>
        <v>0.011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15</v>
      </c>
      <c r="U33" s="212" t="n">
        <f aca="false">IF(ISERROR(S33*J33*K33),0,S33*J33*K33)</f>
        <v>30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PALCOM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309</v>
      </c>
    </row>
    <row r="34" customFormat="false" ht="12.75" hidden="false" customHeight="false" outlineLevel="0" collapsed="false">
      <c r="A34" s="216" t="s">
        <v>90</v>
      </c>
      <c r="B34" s="217" t="n">
        <v>0.04</v>
      </c>
      <c r="C34" s="218" t="n">
        <v>2.51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Rhynchostegium riparioides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0.0647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Rhynchostegium riparioides</v>
      </c>
      <c r="M34" s="225"/>
      <c r="N34" s="225"/>
      <c r="O34" s="225"/>
      <c r="P34" s="226" t="s">
        <v>79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31691</v>
      </c>
      <c r="R34" s="211" t="n">
        <f aca="false">IF(ISTEXT(H34),"",(B34*$B$7/100)+(C34*$C$7/100))</f>
        <v>0.0647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12</v>
      </c>
      <c r="U34" s="212" t="n">
        <f aca="false">IF(ISERROR(S34*J34*K34),0,S34*J34*K34)</f>
        <v>12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RHYRIP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345</v>
      </c>
    </row>
    <row r="35" customFormat="false" ht="12.75" hidden="false" customHeight="false" outlineLevel="0" collapsed="false">
      <c r="A35" s="216" t="s">
        <v>91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n">
        <f aca="false">IF(AND(OR(A35="",A35="!!!!!!"),B35="",C35=""),"",IF(OR(AND(B35="",C35=""),ISERROR(C35+B35)),"!!!",($B35*$B$7+$C35*$C$7)/100))</f>
        <v>0.0001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    -</v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n">
        <f aca="false">IF(A35="","",1)</f>
        <v>1</v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Homalothecium sericeum</v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NoCod</v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 t="s">
        <v>92</v>
      </c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newcod</v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0.1497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GIFFRE</v>
      </c>
      <c r="B84" s="180" t="str">
        <f aca="false">C3</f>
        <v>GIFFRE A TANINGES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11.4444444444444</v>
      </c>
      <c r="E84" s="254" t="n">
        <f aca="false">O13</f>
        <v>13</v>
      </c>
      <c r="F84" s="180" t="n">
        <f aca="false">O14</f>
        <v>11</v>
      </c>
      <c r="G84" s="180" t="n">
        <f aca="false">O15</f>
        <v>4</v>
      </c>
      <c r="H84" s="180" t="n">
        <f aca="false">O16</f>
        <v>7</v>
      </c>
      <c r="I84" s="180" t="n">
        <f aca="false">O17</f>
        <v>0</v>
      </c>
      <c r="J84" s="255" t="n">
        <f aca="false">O8</f>
        <v>11</v>
      </c>
      <c r="K84" s="256" t="n">
        <f aca="false">O9</f>
        <v>3.43775825476164</v>
      </c>
      <c r="L84" s="257" t="n">
        <f aca="false">O10</f>
        <v>4</v>
      </c>
      <c r="M84" s="257" t="n">
        <f aca="false">O11</f>
        <v>15</v>
      </c>
      <c r="N84" s="256" t="n">
        <f aca="false">P8</f>
        <v>1.63636363636364</v>
      </c>
      <c r="O84" s="256" t="n">
        <f aca="false">P9</f>
        <v>0.481045692920835</v>
      </c>
      <c r="P84" s="257" t="n">
        <f aca="false">P10</f>
        <v>1</v>
      </c>
      <c r="Q84" s="257" t="n">
        <f aca="false">P11</f>
        <v>2</v>
      </c>
      <c r="R84" s="257" t="n">
        <f aca="false">F21</f>
        <v>0.1497</v>
      </c>
      <c r="S84" s="257" t="n">
        <f aca="false">L11</f>
        <v>0</v>
      </c>
      <c r="T84" s="257" t="n">
        <f aca="false">L12</f>
        <v>4</v>
      </c>
      <c r="U84" s="257" t="n">
        <f aca="false">L13</f>
        <v>8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94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95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7</v>
      </c>
    </row>
    <row r="89" customFormat="false" ht="12.75" hidden="true" customHeight="false" outlineLevel="0" collapsed="false">
      <c r="C89" s="261"/>
      <c r="D89" s="261"/>
      <c r="E89" s="261"/>
      <c r="R89" s="8" t="s">
        <v>96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97</v>
      </c>
      <c r="S90" s="8" t="s">
        <v>10</v>
      </c>
      <c r="T90" s="264" t="n">
        <f aca="false">IF(OR(ISERROR(SUM($U$23:$U$82)/SUM($V$23:$V$82)),F7&lt;&gt;100),-1,(SUM($U$23:$U$82)-T88)/(SUM($V$23:$V$82)-T89))</f>
        <v>11.375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98</v>
      </c>
      <c r="S91" s="212"/>
      <c r="T91" s="212" t="str">
        <f aca="false">INDEX('[1]liste reference'!$A$6:$A$1174,$U$91)</f>
        <v>MICSPX</v>
      </c>
      <c r="U91" s="8" t="n">
        <f aca="false">IF(ISERROR(MATCH($T$93,'[1]liste reference'!$A$6:$A$1174,0)),MATCH($T$93,'[1]liste reference'!$B$6:$B$1174,0),(MATCH($T$93,'[1]liste reference'!$A$6:$A$1174,0)))</f>
        <v>66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99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100</v>
      </c>
      <c r="S93" s="8"/>
      <c r="T93" s="212" t="str">
        <f aca="false">INDEX($A$23:$A$82,$T$92)</f>
        <v>MICSPX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2016-03-01T13:49:51Z</dcterms:created>
  <dc:creator>laurianne isebe</dc:creator>
  <dc:description/>
  <dc:language>fr-FR</dc:language>
  <cp:lastModifiedBy>laurianne isebe</cp:lastModifiedBy>
  <dcterms:modified xsi:type="dcterms:W3CDTF">2016-03-01T13:49:53Z</dcterms:modified>
  <cp:revision>0</cp:revision>
  <dc:subject/>
  <dc:title/>
</cp:coreProperties>
</file>