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<sst xmlns="http://schemas.openxmlformats.org/spreadsheetml/2006/main" count="159" uniqueCount="94">
  <si>
    <t xml:space="preserve">Relevés floristiques aquatiques - IBMR</t>
  </si>
  <si>
    <t xml:space="preserve">modèle Irstea-GIS</t>
  </si>
  <si>
    <t xml:space="preserve">SAGE ENVIRONNEMENT</t>
  </si>
  <si>
    <t xml:space="preserve">L BOURGOIN  MARION SCHNEIDER</t>
  </si>
  <si>
    <t xml:space="preserve">ARVE</t>
  </si>
  <si>
    <t xml:space="preserve">ARVE A AYSE</t>
  </si>
  <si>
    <t xml:space="preserve">06063300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</si>
  <si>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</si>
  <si>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</si>
  <si>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</si>
  <si>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</si>
  <si>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</si>
  <si>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</si>
  <si>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</si>
  <si>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</si>
  <si>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</si>
  <si>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CINRIP</t>
  </si>
  <si>
    <t xml:space="preserve">Faciès dominant</t>
  </si>
  <si>
    <t xml:space="preserve">radier</t>
  </si>
  <si>
    <t xml:space="preserve">pl. lent</t>
  </si>
  <si>
    <t xml:space="preserve">niveau trophique</t>
  </si>
  <si>
    <t xml:space="preserve">moyen</t>
  </si>
  <si>
    <t xml:space="preserve">élevé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</si>
  <si>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</si>
  <si>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</si>
  <si>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</si>
  <si>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</si>
  <si>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</si>
  <si>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</si>
  <si>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</si>
  <si>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</si>
  <si>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</si>
  <si>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absent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</si>
  <si>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</si>
  <si>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</si>
  <si>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</si>
  <si>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</si>
  <si>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</si>
  <si>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</si>
  <si>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</si>
  <si>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</si>
  <si>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</si>
  <si>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</si>
  <si>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</si>
  <si>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</si>
  <si>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</si>
  <si>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</si>
  <si>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</si>
  <si>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</si>
  <si>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</si>
  <si>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</si>
  <si>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</si>
  <si>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</si>
  <si>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</si>
  <si>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</si>
  <si>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</si>
  <si>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</si>
  <si>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</si>
  <si>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</si>
  <si>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</si>
  <si>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</si>
  <si>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</si>
  <si>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</si>
  <si>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</si>
  <si>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</si>
  <si>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</si>
  <si>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</si>
  <si>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</si>
  <si>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</si>
  <si>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</si>
  <si>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</si>
  <si>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</si>
  <si>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</si>
  <si>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</si>
  <si>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</si>
  <si>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</si>
  <si>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</si>
  <si>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</si>
  <si>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</si>
  <si>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</si>
  <si>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CLASPX</t>
  </si>
  <si>
    <t xml:space="preserve"> -</t>
  </si>
  <si>
    <t xml:space="preserve">VAUSPX</t>
  </si>
  <si>
    <t xml:space="preserve">CINAQU</t>
  </si>
  <si>
    <t xml:space="preserve">FONANT</t>
  </si>
  <si>
    <t xml:space="preserve">LEORIP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</si>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</sst>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008_AYSE_09-02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42044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10.1818181818182</v>
      </c>
      <c r="N5" s="51"/>
      <c r="O5" s="52" t="s">
        <v>16</v>
      </c>
      <c r="P5" s="53" t="n">
        <v>8.57142857142857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1</v>
      </c>
      <c r="P6" s="65" t="s">
        <v>22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23</v>
      </c>
      <c r="B7" s="68" t="n">
        <v>92</v>
      </c>
      <c r="C7" s="69" t="n">
        <v>8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24</v>
      </c>
      <c r="P7" s="78" t="s">
        <v>25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26</v>
      </c>
      <c r="B8" s="43"/>
      <c r="C8" s="43"/>
      <c r="D8" s="57"/>
      <c r="E8" s="57"/>
      <c r="F8" s="80" t="s">
        <v>27</v>
      </c>
      <c r="G8" s="81"/>
      <c r="H8" s="57"/>
      <c r="I8" s="8"/>
      <c r="J8" s="72"/>
      <c r="K8" s="73"/>
      <c r="L8" s="74"/>
      <c r="M8" s="75"/>
      <c r="N8" s="82" t="s">
        <v>28</v>
      </c>
      <c r="O8" s="83" t="n">
        <f aca="false">IF(ISERROR(AVERAGE(J23:J82))," ",AVERAGE(J23:J82))</f>
        <v>8.83333333333333</v>
      </c>
      <c r="P8" s="83" t="n">
        <f aca="false">IF(ISERROR(AVERAGE(K23:K82)),"  ",AVERAGE(K23:K82))</f>
        <v>1.5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29</v>
      </c>
      <c r="B9" s="85" t="n">
        <v>0.35</v>
      </c>
      <c r="C9" s="86" t="n">
        <v>0.21</v>
      </c>
      <c r="D9" s="87"/>
      <c r="E9" s="87"/>
      <c r="F9" s="88" t="n">
        <f aca="false">($B9*$B$7+$C9*$C$7)/100</f>
        <v>0.3388</v>
      </c>
      <c r="G9" s="89"/>
      <c r="H9" s="44"/>
      <c r="I9" s="8"/>
      <c r="J9" s="90"/>
      <c r="K9" s="91"/>
      <c r="L9" s="74"/>
      <c r="M9" s="92"/>
      <c r="N9" s="82" t="s">
        <v>30</v>
      </c>
      <c r="O9" s="83" t="n">
        <f aca="false">IF(ISERROR(STDEVP(J23:J82))," ",STDEVP(J23:J82))</f>
        <v>4.13991411612474</v>
      </c>
      <c r="P9" s="83" t="n">
        <f aca="false">IF(ISERROR(STDEVP(K23:K82)),"  ",STDEVP(K23:K82))</f>
        <v>0.5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31</v>
      </c>
      <c r="B10" s="93" t="s">
        <v>32</v>
      </c>
      <c r="C10" s="94" t="s">
        <v>32</v>
      </c>
      <c r="D10" s="87"/>
      <c r="E10" s="87"/>
      <c r="F10" s="88"/>
      <c r="G10" s="89"/>
      <c r="H10" s="57"/>
      <c r="I10" s="8"/>
      <c r="J10" s="95"/>
      <c r="K10" s="96" t="s">
        <v>33</v>
      </c>
      <c r="L10" s="97"/>
      <c r="M10" s="98"/>
      <c r="N10" s="82" t="s">
        <v>34</v>
      </c>
      <c r="O10" s="99" t="n">
        <f aca="false">MIN(J23:J82)</f>
        <v>4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35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36</v>
      </c>
      <c r="K11" s="106"/>
      <c r="L11" s="107" t="n">
        <f aca="false">COUNTIF($G$23:$G$82,"=HET")</f>
        <v>0</v>
      </c>
      <c r="M11" s="108"/>
      <c r="N11" s="82" t="s">
        <v>37</v>
      </c>
      <c r="O11" s="99" t="n">
        <f aca="false">MAX(J23:J82)</f>
        <v>15</v>
      </c>
      <c r="P11" s="99" t="n">
        <f aca="false">MAX(K23:K82)</f>
        <v>2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38</v>
      </c>
      <c r="B12" s="110" t="n">
        <v>0.02</v>
      </c>
      <c r="C12" s="111" t="n">
        <v>0.1</v>
      </c>
      <c r="D12" s="87"/>
      <c r="E12" s="87"/>
      <c r="F12" s="104" t="n">
        <f aca="false">($B12*$B$7+$C12*$C$7)/100</f>
        <v>0.0264</v>
      </c>
      <c r="G12" s="105"/>
      <c r="H12" s="57"/>
      <c r="I12" s="8"/>
      <c r="J12" s="106" t="s">
        <v>39</v>
      </c>
      <c r="K12" s="106"/>
      <c r="L12" s="107" t="n">
        <f aca="false">COUNTIF($G$23:$G$82,"=ALG")</f>
        <v>2</v>
      </c>
      <c r="M12" s="108"/>
      <c r="N12" s="112"/>
      <c r="O12" s="113" t="s">
        <v>33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40</v>
      </c>
      <c r="B13" s="110" t="n">
        <v>0.33</v>
      </c>
      <c r="C13" s="111" t="n">
        <v>0.11</v>
      </c>
      <c r="D13" s="87"/>
      <c r="E13" s="87"/>
      <c r="F13" s="104" t="n">
        <f aca="false">($B13*$B$7+$C13*$C$7)/100</f>
        <v>0.3124</v>
      </c>
      <c r="G13" s="105"/>
      <c r="H13" s="57"/>
      <c r="I13" s="8"/>
      <c r="J13" s="106" t="s">
        <v>41</v>
      </c>
      <c r="K13" s="106"/>
      <c r="L13" s="107" t="n">
        <f aca="false">COUNTIF($G$23:$G$82,"=BRm")+COUNTIF($G$23:$G$82,"=BRh")</f>
        <v>4</v>
      </c>
      <c r="M13" s="108"/>
      <c r="N13" s="116" t="s">
        <v>42</v>
      </c>
      <c r="O13" s="117" t="n">
        <f aca="false">COUNTIF(F23:F82,"&gt;0")</f>
        <v>6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43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44</v>
      </c>
      <c r="K14" s="106"/>
      <c r="L14" s="107" t="n">
        <f aca="false">COUNTIF($G$23:$G$82,"=PTE")+COUNTIF($G$23:$G$82,"=LIC")</f>
        <v>0</v>
      </c>
      <c r="M14" s="108"/>
      <c r="N14" s="119" t="s">
        <v>45</v>
      </c>
      <c r="O14" s="120" t="n">
        <f aca="false">COUNTIF($J$23:$J$82,"&gt;-1")</f>
        <v>6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46</v>
      </c>
      <c r="B15" s="123"/>
      <c r="C15" s="124"/>
      <c r="D15" s="87"/>
      <c r="E15" s="87"/>
      <c r="F15" s="104" t="n">
        <f aca="false">($B15*$B$7+$C15*$C$7)/100</f>
        <v>0</v>
      </c>
      <c r="G15" s="105"/>
      <c r="H15" s="57"/>
      <c r="I15" s="8"/>
      <c r="J15" s="106" t="s">
        <v>47</v>
      </c>
      <c r="K15" s="106"/>
      <c r="L15" s="107" t="n">
        <f aca="false">(COUNTIF($G$23:$G$82,"=PHy"))+(COUNTIF($G$23:$G$82,"=PHe"))+(COUNTIF($G$23:$G$82,"=PHg"))+(COUNTIF($G$23:$G$82,"=PHx"))</f>
        <v>0</v>
      </c>
      <c r="M15" s="108"/>
      <c r="N15" s="116" t="s">
        <v>48</v>
      </c>
      <c r="O15" s="117" t="n">
        <f aca="false">COUNTIF(K23:K82,"=1")</f>
        <v>3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49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50</v>
      </c>
      <c r="O16" s="117" t="n">
        <f aca="false">COUNTIF(K23:K82,"=2")</f>
        <v>3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51</v>
      </c>
      <c r="B17" s="110" t="n">
        <v>0.35</v>
      </c>
      <c r="C17" s="111" t="n">
        <v>0.21</v>
      </c>
      <c r="D17" s="87"/>
      <c r="E17" s="87"/>
      <c r="F17" s="129"/>
      <c r="G17" s="130" t="n">
        <f aca="false">($B17*$B$7+$C17*$C$7)/100</f>
        <v>0.3388</v>
      </c>
      <c r="H17" s="57"/>
      <c r="I17" s="8"/>
      <c r="J17" s="131"/>
      <c r="K17" s="132"/>
      <c r="L17" s="133" t="s">
        <v>52</v>
      </c>
      <c r="M17" s="134" t="n">
        <f aca="false">IF(ISERROR((O13-(COUNTIF(J23:J82,"nc")))/O13),"-",(O13-(COUNTIF(J23:J82,"nc")))/O13)</f>
        <v>1</v>
      </c>
      <c r="N17" s="116" t="s">
        <v>53</v>
      </c>
      <c r="O17" s="117" t="n">
        <f aca="false">COUNTIF(K23:K82,"=3")</f>
        <v>0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54</v>
      </c>
      <c r="B18" s="137"/>
      <c r="C18" s="138"/>
      <c r="D18" s="87"/>
      <c r="E18" s="139" t="s">
        <v>55</v>
      </c>
      <c r="F18" s="129"/>
      <c r="G18" s="130" t="n">
        <f aca="false">($B18*$B$7+$C18*$C$7)/100</f>
        <v>0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0.3388</v>
      </c>
      <c r="G19" s="150" t="n">
        <f aca="false">SUM(G16:G18)</f>
        <v>0.3388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56</v>
      </c>
      <c r="B20" s="159" t="n">
        <f aca="false">SUM(B23:B62)</f>
        <v>0.35</v>
      </c>
      <c r="C20" s="160" t="n">
        <f aca="false">SUM(C23:C62)</f>
        <v>0.21</v>
      </c>
      <c r="D20" s="161"/>
      <c r="E20" s="162" t="s">
        <v>55</v>
      </c>
      <c r="F20" s="163" t="n">
        <f aca="false">($B20*$B$7+$C20*$C$7)/100</f>
        <v>0.3388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57</v>
      </c>
      <c r="B21" s="171" t="n">
        <f aca="false">B20*B7/100</f>
        <v>0.322</v>
      </c>
      <c r="C21" s="171" t="n">
        <f aca="false">C20*C7/100</f>
        <v>0.0168</v>
      </c>
      <c r="D21" s="172" t="s">
        <v>58</v>
      </c>
      <c r="E21" s="173"/>
      <c r="F21" s="174" t="n">
        <f aca="false">B21+C21</f>
        <v>0.3388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59</v>
      </c>
    </row>
    <row r="22" customFormat="false" ht="12.75" hidden="false" customHeight="false" outlineLevel="0" collapsed="false">
      <c r="A22" s="183" t="s">
        <v>60</v>
      </c>
      <c r="B22" s="184" t="s">
        <v>61</v>
      </c>
      <c r="C22" s="184" t="s">
        <v>61</v>
      </c>
      <c r="D22" s="185"/>
      <c r="E22" s="186"/>
      <c r="F22" s="187" t="s">
        <v>62</v>
      </c>
      <c r="G22" s="188" t="s">
        <v>63</v>
      </c>
      <c r="H22" s="87" t="s">
        <v>64</v>
      </c>
      <c r="I22" s="8" t="s">
        <v>65</v>
      </c>
      <c r="J22" s="189" t="s">
        <v>66</v>
      </c>
      <c r="K22" s="189" t="s">
        <v>67</v>
      </c>
      <c r="L22" s="190" t="s">
        <v>68</v>
      </c>
      <c r="M22" s="190"/>
      <c r="N22" s="190"/>
      <c r="O22" s="190"/>
      <c r="P22" s="182" t="s">
        <v>69</v>
      </c>
      <c r="Q22" s="191" t="s">
        <v>70</v>
      </c>
      <c r="R22" s="192" t="s">
        <v>71</v>
      </c>
      <c r="S22" s="193" t="s">
        <v>72</v>
      </c>
      <c r="T22" s="194" t="s">
        <v>73</v>
      </c>
      <c r="U22" s="194" t="s">
        <v>74</v>
      </c>
      <c r="V22" s="195" t="s">
        <v>75</v>
      </c>
      <c r="W22" s="196" t="s">
        <v>76</v>
      </c>
      <c r="X22" s="196" t="s">
        <v>77</v>
      </c>
      <c r="Y22" s="197" t="s">
        <v>78</v>
      </c>
      <c r="Z22" s="197" t="s">
        <v>79</v>
      </c>
    </row>
    <row r="23" customFormat="false" ht="12.75" hidden="false" customHeight="false" outlineLevel="0" collapsed="false">
      <c r="A23" s="198" t="s">
        <v>80</v>
      </c>
      <c r="B23" s="199" t="n">
        <v>0.01</v>
      </c>
      <c r="C23" s="200" t="n">
        <v>0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Cladophora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0.0092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6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1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Cladophora sp.</v>
      </c>
      <c r="M23" s="208"/>
      <c r="N23" s="208"/>
      <c r="O23" s="208"/>
      <c r="P23" s="209" t="s">
        <v>81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1124</v>
      </c>
      <c r="R23" s="211" t="n">
        <f aca="false">IF(ISTEXT(H23),"",(B23*$B$7/100)+(C23*$C$7/100))</f>
        <v>0.0092</v>
      </c>
      <c r="S23" s="212" t="n">
        <f aca="false">IF(OR(ISTEXT(H23),R23=0),"",IF(R23&lt;0.1,1,IF(R23&lt;1,2,IF(R23&lt;10,3,IF(R23&lt;50,4,IF(R23&gt;=50,5,""))))))</f>
        <v>1</v>
      </c>
      <c r="T23" s="212" t="n">
        <f aca="false">IF(ISERROR(S23*J23),0,S23*J23)</f>
        <v>6</v>
      </c>
      <c r="U23" s="212" t="n">
        <f aca="false">IF(ISERROR(S23*J23*K23),0,S23*J23*K23)</f>
        <v>6</v>
      </c>
      <c r="V23" s="212" t="n">
        <f aca="false">IF(ISERROR(S23*K23),0,S23*K23)</f>
        <v>1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CLASPX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35</v>
      </c>
    </row>
    <row r="24" customFormat="false" ht="12.75" hidden="false" customHeight="false" outlineLevel="0" collapsed="false">
      <c r="A24" s="216" t="s">
        <v>82</v>
      </c>
      <c r="B24" s="217" t="n">
        <v>0.01</v>
      </c>
      <c r="C24" s="218" t="n">
        <v>0.1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Vaucheria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0.0172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4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1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Vaucheria sp.</v>
      </c>
      <c r="M24" s="225"/>
      <c r="N24" s="225"/>
      <c r="O24" s="225"/>
      <c r="P24" s="226" t="s">
        <v>81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1169</v>
      </c>
      <c r="R24" s="211" t="n">
        <f aca="false">IF(ISTEXT(H24),"",(B24*$B$7/100)+(C24*$C$7/100))</f>
        <v>0.0172</v>
      </c>
      <c r="S24" s="212" t="n">
        <f aca="false">IF(OR(ISTEXT(H24),R24=0),"",IF(R24&lt;0.1,1,IF(R24&lt;1,2,IF(R24&lt;10,3,IF(R24&lt;50,4,IF(R24&gt;=50,5,""))))))</f>
        <v>1</v>
      </c>
      <c r="T24" s="212" t="n">
        <f aca="false">IF(ISERROR(S24*J24),0,S24*J24)</f>
        <v>4</v>
      </c>
      <c r="U24" s="212" t="n">
        <f aca="false">IF(ISERROR(S24*J24*K24),0,S24*J24*K24)</f>
        <v>4</v>
      </c>
      <c r="V24" s="228" t="n">
        <f aca="false">IF(ISERROR(S24*K24),0,S24*K24)</f>
        <v>1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VAUSPX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118</v>
      </c>
    </row>
    <row r="25" customFormat="false" ht="12.75" hidden="false" customHeight="false" outlineLevel="0" collapsed="false">
      <c r="A25" s="216" t="s">
        <v>83</v>
      </c>
      <c r="B25" s="217" t="n">
        <v>0.01</v>
      </c>
      <c r="C25" s="218" t="n">
        <v>0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Cinclidotus aquaticus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0.0092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BRm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5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15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2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Cinclidotus aquaticus</v>
      </c>
      <c r="M25" s="225"/>
      <c r="N25" s="225"/>
      <c r="O25" s="225"/>
      <c r="P25" s="226" t="s">
        <v>81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1318</v>
      </c>
      <c r="R25" s="211" t="n">
        <f aca="false">IF(ISTEXT(H25),"",(B25*$B$7/100)+(C25*$C$7/100))</f>
        <v>0.0092</v>
      </c>
      <c r="S25" s="212" t="n">
        <f aca="false">IF(OR(ISTEXT(H25),R25=0),"",IF(R25&lt;0.1,1,IF(R25&lt;1,2,IF(R25&lt;10,3,IF(R25&lt;50,4,IF(R25&gt;=50,5,""))))))</f>
        <v>1</v>
      </c>
      <c r="T25" s="212" t="n">
        <f aca="false">IF(ISERROR(S25*J25),0,S25*J25)</f>
        <v>15</v>
      </c>
      <c r="U25" s="212" t="n">
        <f aca="false">IF(ISERROR(S25*J25*K25),0,S25*J25*K25)</f>
        <v>30</v>
      </c>
      <c r="V25" s="228" t="n">
        <f aca="false">IF(ISERROR(S25*K25),0,S25*K25)</f>
        <v>2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CINAQU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221</v>
      </c>
    </row>
    <row r="26" customFormat="false" ht="12.75" hidden="false" customHeight="false" outlineLevel="0" collapsed="false">
      <c r="A26" s="216" t="s">
        <v>16</v>
      </c>
      <c r="B26" s="217" t="n">
        <v>0.3</v>
      </c>
      <c r="C26" s="218" t="n">
        <v>0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Cinclidotus riparius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0.276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BRm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5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13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2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Cinclidotus riparius</v>
      </c>
      <c r="M26" s="225"/>
      <c r="N26" s="225"/>
      <c r="O26" s="225"/>
      <c r="P26" s="226" t="s">
        <v>81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1321</v>
      </c>
      <c r="R26" s="211" t="n">
        <f aca="false">IF(ISTEXT(H26),"",(B26*$B$7/100)+(C26*$C$7/100))</f>
        <v>0.276</v>
      </c>
      <c r="S26" s="212" t="n">
        <f aca="false">IF(OR(ISTEXT(H26),R26=0),"",IF(R26&lt;0.1,1,IF(R26&lt;1,2,IF(R26&lt;10,3,IF(R26&lt;50,4,IF(R26&gt;=50,5,""))))))</f>
        <v>2</v>
      </c>
      <c r="T26" s="212" t="n">
        <f aca="false">IF(ISERROR(S26*J26),0,S26*J26)</f>
        <v>26</v>
      </c>
      <c r="U26" s="212" t="n">
        <f aca="false">IF(ISERROR(S26*J26*K26),0,S26*J26*K26)</f>
        <v>52</v>
      </c>
      <c r="V26" s="228" t="n">
        <f aca="false">IF(ISERROR(S26*K26),0,S26*K26)</f>
        <v>4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CINRIP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224</v>
      </c>
    </row>
    <row r="27" customFormat="false" ht="12.75" hidden="false" customHeight="false" outlineLevel="0" collapsed="false">
      <c r="A27" s="216" t="s">
        <v>84</v>
      </c>
      <c r="B27" s="217" t="n">
        <v>0.01</v>
      </c>
      <c r="C27" s="218" t="n">
        <v>0.1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Fontinalis antipyretica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0.0172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BRm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5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10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1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Fontinalis antipyretica</v>
      </c>
      <c r="M27" s="225"/>
      <c r="N27" s="225"/>
      <c r="O27" s="225"/>
      <c r="P27" s="226" t="s">
        <v>81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1310</v>
      </c>
      <c r="R27" s="211" t="n">
        <f aca="false">IF(ISTEXT(H27),"",(B27*$B$7/100)+(C27*$C$7/100))</f>
        <v>0.0172</v>
      </c>
      <c r="S27" s="212" t="n">
        <f aca="false">IF(OR(ISTEXT(H27),R27=0),"",IF(R27&lt;0.1,1,IF(R27&lt;1,2,IF(R27&lt;10,3,IF(R27&lt;50,4,IF(R27&gt;=50,5,""))))))</f>
        <v>1</v>
      </c>
      <c r="T27" s="212" t="n">
        <f aca="false">IF(ISERROR(S27*J27),0,S27*J27)</f>
        <v>10</v>
      </c>
      <c r="U27" s="212" t="n">
        <f aca="false">IF(ISERROR(S27*J27*K27),0,S27*J27*K27)</f>
        <v>10</v>
      </c>
      <c r="V27" s="228" t="n">
        <f aca="false">IF(ISERROR(S27*K27),0,S27*K27)</f>
        <v>1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FONANT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273</v>
      </c>
    </row>
    <row r="28" customFormat="false" ht="12.75" hidden="false" customHeight="false" outlineLevel="0" collapsed="false">
      <c r="A28" s="216" t="s">
        <v>85</v>
      </c>
      <c r="B28" s="217" t="n">
        <v>0.01</v>
      </c>
      <c r="C28" s="218" t="n">
        <v>0.01</v>
      </c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Leptodictyum riparium </v>
      </c>
      <c r="E28" s="220" t="e">
        <f aca="false">IF(D28="",0,VLOOKUP(D28,D$22:D27,1,0))</f>
        <v>#N/A</v>
      </c>
      <c r="F28" s="221" t="n">
        <f aca="false">IF(AND(OR(A28="",A28="!!!!!!"),B28="",C28=""),"",IF(OR(AND(B28="",C28=""),ISERROR(C28+B28)),"!!!",($B28*$B$7+$C28*$C$7)/100))</f>
        <v>0.01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BRm</v>
      </c>
      <c r="H28" s="223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5</v>
      </c>
      <c r="I28" s="8" t="n">
        <f aca="false">IF(A28="","",1)</f>
        <v>1</v>
      </c>
      <c r="J28" s="224" t="n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5</v>
      </c>
      <c r="K28" s="224" t="n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2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Leptodictyum riparium </v>
      </c>
      <c r="M28" s="225"/>
      <c r="N28" s="225"/>
      <c r="O28" s="225"/>
      <c r="P28" s="226" t="s">
        <v>81</v>
      </c>
      <c r="Q28" s="227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1244</v>
      </c>
      <c r="R28" s="211" t="n">
        <f aca="false">IF(ISTEXT(H28),"",(B28*$B$7/100)+(C28*$C$7/100))</f>
        <v>0.01</v>
      </c>
      <c r="S28" s="212" t="n">
        <f aca="false">IF(OR(ISTEXT(H28),R28=0),"",IF(R28&lt;0.1,1,IF(R28&lt;1,2,IF(R28&lt;10,3,IF(R28&lt;50,4,IF(R28&gt;=50,5,""))))))</f>
        <v>1</v>
      </c>
      <c r="T28" s="212" t="n">
        <f aca="false">IF(ISERROR(S28*J28),0,S28*J28)</f>
        <v>5</v>
      </c>
      <c r="U28" s="212" t="n">
        <f aca="false">IF(ISERROR(S28*J28*K28),0,S28*J28*K28)</f>
        <v>10</v>
      </c>
      <c r="V28" s="228" t="n">
        <f aca="false">IF(ISERROR(S28*K28),0,S28*K28)</f>
        <v>2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LEORIP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298</v>
      </c>
    </row>
    <row r="29" customFormat="false" ht="12.75" hidden="false" customHeight="false" outlineLevel="0" collapsed="false">
      <c r="A29" s="216"/>
      <c r="B29" s="217"/>
      <c r="C29" s="218"/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/>
      </c>
      <c r="E29" s="220" t="n">
        <f aca="false">IF(D29="",0,VLOOKUP(D29,D$22:D28,1,0))</f>
        <v>0</v>
      </c>
      <c r="F29" s="221" t="str">
        <f aca="false">IF(AND(OR(A29="",A29="!!!!!!"),B29="",C29=""),"",IF(OR(AND(B29="",C29=""),ISERROR(C29+B29)),"!!!",($B29*$B$7+$C29*$C$7)/100))</f>
        <v/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/>
      </c>
      <c r="H29" s="223" t="str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x</v>
      </c>
      <c r="I29" s="8" t="str">
        <f aca="false">IF(A29="","",1)</f>
        <v/>
      </c>
      <c r="J29" s="224" t="str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nu</v>
      </c>
      <c r="K29" s="224" t="str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nu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/>
      </c>
      <c r="M29" s="225"/>
      <c r="N29" s="225"/>
      <c r="O29" s="225"/>
      <c r="P29" s="226" t="s">
        <v>81</v>
      </c>
      <c r="Q29" s="227" t="str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/>
      </c>
      <c r="R29" s="211" t="str">
        <f aca="false">IF(ISTEXT(H29),"",(B29*$B$7/100)+(C29*$C$7/100))</f>
        <v/>
      </c>
      <c r="S29" s="212" t="str">
        <f aca="false">IF(OR(ISTEXT(H29),R29=0),"",IF(R29&lt;0.1,1,IF(R29&lt;1,2,IF(R29&lt;10,3,IF(R29&lt;50,4,IF(R29&gt;=50,5,""))))))</f>
        <v/>
      </c>
      <c r="T29" s="212" t="n">
        <f aca="false">IF(ISERROR(S29*J29),0,S29*J29)</f>
        <v>0</v>
      </c>
      <c r="U29" s="212" t="n">
        <f aca="false">IF(ISERROR(S29*J29*K29),0,S29*J29*K29)</f>
        <v>0</v>
      </c>
      <c r="V29" s="228" t="n">
        <f aca="false">IF(ISERROR(S29*K29),0,S29*K29)</f>
        <v>0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/>
      </c>
      <c r="Z29" s="197" t="str">
        <f aca="false">IF(ISERROR(MATCH(A29,'[1]liste reference'!$A$6:$A$1174,0)),IF(ISERROR(MATCH(A29,'[1]liste reference'!$B$6:$B$1174,0)),"",(MATCH(A29,'[1]liste reference'!$B$6:$B$1174,0))),(MATCH(A29,'[1]liste reference'!$A$6:$A$1174,0)))</f>
        <v/>
      </c>
    </row>
    <row r="30" customFormat="false" ht="12.75" hidden="false" customHeight="false" outlineLevel="0" collapsed="false">
      <c r="A30" s="216"/>
      <c r="B30" s="217"/>
      <c r="C30" s="218"/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/>
      </c>
      <c r="E30" s="220" t="n">
        <f aca="false">IF(D30="",0,VLOOKUP(D30,D$22:D29,1,0))</f>
        <v>0</v>
      </c>
      <c r="F30" s="221" t="str">
        <f aca="false">IF(AND(OR(A30="",A30="!!!!!!"),B30="",C30=""),"",IF(OR(AND(B30="",C30=""),ISERROR(C30+B30)),"!!!",($B30*$B$7+$C30*$C$7)/100))</f>
        <v/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/>
      </c>
      <c r="H30" s="223" t="str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x</v>
      </c>
      <c r="I30" s="8" t="str">
        <f aca="false">IF(A30="","",1)</f>
        <v/>
      </c>
      <c r="J30" s="224" t="str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nu</v>
      </c>
      <c r="K30" s="224" t="str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nu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/>
      </c>
      <c r="M30" s="225"/>
      <c r="N30" s="225"/>
      <c r="O30" s="225"/>
      <c r="P30" s="226" t="s">
        <v>81</v>
      </c>
      <c r="Q30" s="227" t="str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/>
      </c>
      <c r="R30" s="211" t="str">
        <f aca="false">IF(ISTEXT(H30),"",(B30*$B$7/100)+(C30*$C$7/100))</f>
        <v/>
      </c>
      <c r="S30" s="212" t="str">
        <f aca="false">IF(OR(ISTEXT(H30),R30=0),"",IF(R30&lt;0.1,1,IF(R30&lt;1,2,IF(R30&lt;10,3,IF(R30&lt;50,4,IF(R30&gt;=50,5,""))))))</f>
        <v/>
      </c>
      <c r="T30" s="212" t="n">
        <f aca="false">IF(ISERROR(S30*J30),0,S30*J30)</f>
        <v>0</v>
      </c>
      <c r="U30" s="212" t="n">
        <f aca="false">IF(ISERROR(S30*J30*K30),0,S30*J30*K30)</f>
        <v>0</v>
      </c>
      <c r="V30" s="228" t="n">
        <f aca="false">IF(ISERROR(S30*K30),0,S30*K30)</f>
        <v>0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/>
      </c>
      <c r="Z30" s="197" t="str">
        <f aca="false">IF(ISERROR(MATCH(A30,'[1]liste reference'!$A$6:$A$1174,0)),IF(ISERROR(MATCH(A30,'[1]liste reference'!$B$6:$B$1174,0)),"",(MATCH(A30,'[1]liste reference'!$B$6:$B$1174,0))),(MATCH(A30,'[1]liste reference'!$A$6:$A$1174,0)))</f>
        <v/>
      </c>
    </row>
    <row r="31" customFormat="false" ht="12.75" hidden="false" customHeight="false" outlineLevel="0" collapsed="false">
      <c r="A31" s="216"/>
      <c r="B31" s="217"/>
      <c r="C31" s="218"/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/>
      </c>
      <c r="E31" s="220" t="n">
        <f aca="false">IF(D31="",0,VLOOKUP(D31,D$22:D30,1,0))</f>
        <v>0</v>
      </c>
      <c r="F31" s="221" t="str">
        <f aca="false">IF(AND(OR(A31="",A31="!!!!!!"),B31="",C31=""),"",IF(OR(AND(B31="",C31=""),ISERROR(C31+B31)),"!!!",($B31*$B$7+$C31*$C$7)/100))</f>
        <v/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/>
      </c>
      <c r="H31" s="223" t="str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x</v>
      </c>
      <c r="I31" s="8" t="str">
        <f aca="false">IF(A31="","",1)</f>
        <v/>
      </c>
      <c r="J31" s="224" t="str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nu</v>
      </c>
      <c r="K31" s="224" t="str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nu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/>
      </c>
      <c r="M31" s="225"/>
      <c r="N31" s="225"/>
      <c r="O31" s="225"/>
      <c r="P31" s="226" t="s">
        <v>81</v>
      </c>
      <c r="Q31" s="227" t="str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/>
      </c>
      <c r="R31" s="211" t="str">
        <f aca="false">IF(ISTEXT(H31),"",(B31*$B$7/100)+(C31*$C$7/100))</f>
        <v/>
      </c>
      <c r="S31" s="212" t="str">
        <f aca="false">IF(OR(ISTEXT(H31),R31=0),"",IF(R31&lt;0.1,1,IF(R31&lt;1,2,IF(R31&lt;10,3,IF(R31&lt;50,4,IF(R31&gt;=50,5,""))))))</f>
        <v/>
      </c>
      <c r="T31" s="212" t="n">
        <f aca="false">IF(ISERROR(S31*J31),0,S31*J31)</f>
        <v>0</v>
      </c>
      <c r="U31" s="212" t="n">
        <f aca="false">IF(ISERROR(S31*J31*K31),0,S31*J31*K31)</f>
        <v>0</v>
      </c>
      <c r="V31" s="228" t="n">
        <f aca="false">IF(ISERROR(S31*K31),0,S31*K31)</f>
        <v>0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/>
      </c>
      <c r="Z31" s="197" t="str">
        <f aca="false">IF(ISERROR(MATCH(A31,'[1]liste reference'!$A$6:$A$1174,0)),IF(ISERROR(MATCH(A31,'[1]liste reference'!$B$6:$B$1174,0)),"",(MATCH(A31,'[1]liste reference'!$B$6:$B$1174,0))),(MATCH(A31,'[1]liste reference'!$A$6:$A$1174,0)))</f>
        <v/>
      </c>
    </row>
    <row r="32" customFormat="false" ht="12.75" hidden="false" customHeight="false" outlineLevel="0" collapsed="false">
      <c r="A32" s="216"/>
      <c r="B32" s="217"/>
      <c r="C32" s="218"/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/>
      </c>
      <c r="E32" s="220" t="n">
        <f aca="false">IF(D32="",0,VLOOKUP(D32,D$22:D31,1,0))</f>
        <v>0</v>
      </c>
      <c r="F32" s="221" t="str">
        <f aca="false">IF(AND(OR(A32="",A32="!!!!!!"),B32="",C32=""),"",IF(OR(AND(B32="",C32=""),ISERROR(C32+B32)),"!!!",($B32*$B$7+$C32*$C$7)/100))</f>
        <v/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/>
      </c>
      <c r="H32" s="223" t="str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x</v>
      </c>
      <c r="I32" s="8" t="str">
        <f aca="false">IF(A32="","",1)</f>
        <v/>
      </c>
      <c r="J32" s="224" t="str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nu</v>
      </c>
      <c r="K32" s="224" t="str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nu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/>
      </c>
      <c r="M32" s="225"/>
      <c r="N32" s="225"/>
      <c r="O32" s="225"/>
      <c r="P32" s="226" t="s">
        <v>81</v>
      </c>
      <c r="Q32" s="227" t="str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/>
      </c>
      <c r="R32" s="211" t="str">
        <f aca="false">IF(ISTEXT(H32),"",(B32*$B$7/100)+(C32*$C$7/100))</f>
        <v/>
      </c>
      <c r="S32" s="212" t="str">
        <f aca="false">IF(OR(ISTEXT(H32),R32=0),"",IF(R32&lt;0.1,1,IF(R32&lt;1,2,IF(R32&lt;10,3,IF(R32&lt;50,4,IF(R32&gt;=50,5,""))))))</f>
        <v/>
      </c>
      <c r="T32" s="212" t="n">
        <f aca="false">IF(ISERROR(S32*J32),0,S32*J32)</f>
        <v>0</v>
      </c>
      <c r="U32" s="212" t="n">
        <f aca="false">IF(ISERROR(S32*J32*K32),0,S32*J32*K32)</f>
        <v>0</v>
      </c>
      <c r="V32" s="228" t="n">
        <f aca="false">IF(ISERROR(S32*K32),0,S32*K32)</f>
        <v>0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/>
      </c>
      <c r="Z32" s="197" t="str">
        <f aca="false">IF(ISERROR(MATCH(A32,'[1]liste reference'!$A$6:$A$1174,0)),IF(ISERROR(MATCH(A32,'[1]liste reference'!$B$6:$B$1174,0)),"",(MATCH(A32,'[1]liste reference'!$B$6:$B$1174,0))),(MATCH(A32,'[1]liste reference'!$A$6:$A$1174,0)))</f>
        <v/>
      </c>
    </row>
    <row r="33" customFormat="false" ht="12.75" hidden="false" customHeight="false" outlineLevel="0" collapsed="false">
      <c r="A33" s="216"/>
      <c r="B33" s="217"/>
      <c r="C33" s="218"/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/>
      </c>
      <c r="E33" s="220" t="n">
        <f aca="false">IF(D33="",0,VLOOKUP(D33,D$22:D32,1,0))</f>
        <v>0</v>
      </c>
      <c r="F33" s="221" t="str">
        <f aca="false">IF(AND(OR(A33="",A33="!!!!!!"),B33="",C33=""),"",IF(OR(AND(B33="",C33=""),ISERROR(C33+B33)),"!!!",($B33*$B$7+$C33*$C$7)/100))</f>
        <v/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/>
      </c>
      <c r="H33" s="223" t="str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x</v>
      </c>
      <c r="I33" s="8" t="str">
        <f aca="false">IF(A33="","",1)</f>
        <v/>
      </c>
      <c r="J33" s="224" t="str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nu</v>
      </c>
      <c r="K33" s="224" t="str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nu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/>
      </c>
      <c r="M33" s="225"/>
      <c r="N33" s="225"/>
      <c r="O33" s="225"/>
      <c r="P33" s="226" t="s">
        <v>81</v>
      </c>
      <c r="Q33" s="227" t="str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/>
      </c>
      <c r="R33" s="211" t="str">
        <f aca="false">IF(ISTEXT(H33),"",(B33*$B$7/100)+(C33*$C$7/100))</f>
        <v/>
      </c>
      <c r="S33" s="212" t="str">
        <f aca="false">IF(OR(ISTEXT(H33),R33=0),"",IF(R33&lt;0.1,1,IF(R33&lt;1,2,IF(R33&lt;10,3,IF(R33&lt;50,4,IF(R33&gt;=50,5,""))))))</f>
        <v/>
      </c>
      <c r="T33" s="212" t="n">
        <f aca="false">IF(ISERROR(S33*J33),0,S33*J33)</f>
        <v>0</v>
      </c>
      <c r="U33" s="212" t="n">
        <f aca="false">IF(ISERROR(S33*J33*K33),0,S33*J33*K33)</f>
        <v>0</v>
      </c>
      <c r="V33" s="228" t="n">
        <f aca="false">IF(ISERROR(S33*K33),0,S33*K33)</f>
        <v>0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/>
      </c>
      <c r="Z33" s="197" t="str">
        <f aca="false">IF(ISERROR(MATCH(A33,'[1]liste reference'!$A$6:$A$1174,0)),IF(ISERROR(MATCH(A33,'[1]liste reference'!$B$6:$B$1174,0)),"",(MATCH(A33,'[1]liste reference'!$B$6:$B$1174,0))),(MATCH(A33,'[1]liste reference'!$A$6:$A$1174,0)))</f>
        <v/>
      </c>
    </row>
    <row r="34" customFormat="false" ht="12.75" hidden="false" customHeight="false" outlineLevel="0" collapsed="false">
      <c r="A34" s="216"/>
      <c r="B34" s="217"/>
      <c r="C34" s="218"/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/>
      </c>
      <c r="E34" s="220" t="n">
        <f aca="false">IF(D34="",0,VLOOKUP(D34,D$22:D33,1,0))</f>
        <v>0</v>
      </c>
      <c r="F34" s="221" t="str">
        <f aca="false">IF(AND(OR(A34="",A34="!!!!!!"),B34="",C34=""),"",IF(OR(AND(B34="",C34=""),ISERROR(C34+B34)),"!!!",($B34*$B$7+$C34*$C$7)/100))</f>
        <v/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/>
      </c>
      <c r="H34" s="223" t="str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x</v>
      </c>
      <c r="I34" s="8" t="str">
        <f aca="false">IF(A34="","",1)</f>
        <v/>
      </c>
      <c r="J34" s="224" t="str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nu</v>
      </c>
      <c r="K34" s="224" t="str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nu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/>
      </c>
      <c r="M34" s="225"/>
      <c r="N34" s="225"/>
      <c r="O34" s="225"/>
      <c r="P34" s="226" t="s">
        <v>81</v>
      </c>
      <c r="Q34" s="227" t="str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/>
      </c>
      <c r="R34" s="211" t="str">
        <f aca="false">IF(ISTEXT(H34),"",(B34*$B$7/100)+(C34*$C$7/100))</f>
        <v/>
      </c>
      <c r="S34" s="212" t="str">
        <f aca="false">IF(OR(ISTEXT(H34),R34=0),"",IF(R34&lt;0.1,1,IF(R34&lt;1,2,IF(R34&lt;10,3,IF(R34&lt;50,4,IF(R34&gt;=50,5,""))))))</f>
        <v/>
      </c>
      <c r="T34" s="212" t="n">
        <f aca="false">IF(ISERROR(S34*J34),0,S34*J34)</f>
        <v>0</v>
      </c>
      <c r="U34" s="212" t="n">
        <f aca="false">IF(ISERROR(S34*J34*K34),0,S34*J34*K34)</f>
        <v>0</v>
      </c>
      <c r="V34" s="228" t="n">
        <f aca="false">IF(ISERROR(S34*K34),0,S34*K34)</f>
        <v>0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/>
      </c>
      <c r="Z34" s="197" t="str">
        <f aca="false">IF(ISERROR(MATCH(A34,'[1]liste reference'!$A$6:$A$1174,0)),IF(ISERROR(MATCH(A34,'[1]liste reference'!$B$6:$B$1174,0)),"",(MATCH(A34,'[1]liste reference'!$B$6:$B$1174,0))),(MATCH(A34,'[1]liste reference'!$A$6:$A$1174,0)))</f>
        <v/>
      </c>
    </row>
    <row r="35" customFormat="false" ht="12.75" hidden="false" customHeight="false" outlineLevel="0" collapsed="false">
      <c r="A35" s="216"/>
      <c r="B35" s="217"/>
      <c r="C35" s="218"/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20" t="n">
        <f aca="false">IF(D35="",0,VLOOKUP(D35,D$22:D34,1,0))</f>
        <v>0</v>
      </c>
      <c r="F35" s="221" t="str">
        <f aca="false">IF(AND(OR(A35="",A35="!!!!!!"),B35="",C35=""),"",IF(OR(AND(B35="",C35=""),ISERROR(C35+B35)),"!!!",($B35*$B$7+$C35*$C$7)/100))</f>
        <v/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/>
      </c>
      <c r="H35" s="223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str">
        <f aca="false">IF(A35="","",1)</f>
        <v/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/>
      </c>
      <c r="M35" s="225"/>
      <c r="N35" s="225"/>
      <c r="O35" s="225"/>
      <c r="P35" s="226" t="s">
        <v>81</v>
      </c>
      <c r="Q35" s="227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/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/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20" t="n">
        <f aca="false">IF(D36="",0,VLOOKUP(D36,D$22:D35,1,0))</f>
        <v>0</v>
      </c>
      <c r="F36" s="221" t="str">
        <f aca="false">IF(AND(OR(A36="",A36="!!!!!!"),B36="",C36=""),"",IF(OR(AND(B36="",C36=""),ISERROR(C36+B36)),"!!!",($B36*$B$7+$C36*$C$7)/100))</f>
        <v/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3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5"/>
      <c r="N36" s="225"/>
      <c r="O36" s="225"/>
      <c r="P36" s="226" t="s">
        <v>81</v>
      </c>
      <c r="Q36" s="227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81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81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81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81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81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81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81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81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81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81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81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81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81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81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81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81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81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81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81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81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81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81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81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81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81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81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81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81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81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81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81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81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81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81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81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81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81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81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81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81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81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81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81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81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81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81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0.3388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11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ARVE</v>
      </c>
      <c r="B84" s="180" t="str">
        <f aca="false">C3</f>
        <v>ARVE A AYSE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10.1818181818182</v>
      </c>
      <c r="E84" s="254" t="n">
        <f aca="false">O13</f>
        <v>6</v>
      </c>
      <c r="F84" s="180" t="n">
        <f aca="false">O14</f>
        <v>6</v>
      </c>
      <c r="G84" s="180" t="n">
        <f aca="false">O15</f>
        <v>3</v>
      </c>
      <c r="H84" s="180" t="n">
        <f aca="false">O16</f>
        <v>3</v>
      </c>
      <c r="I84" s="180" t="n">
        <f aca="false">O17</f>
        <v>0</v>
      </c>
      <c r="J84" s="255" t="n">
        <f aca="false">O8</f>
        <v>8.83333333333333</v>
      </c>
      <c r="K84" s="256" t="n">
        <f aca="false">O9</f>
        <v>4.13991411612474</v>
      </c>
      <c r="L84" s="257" t="n">
        <f aca="false">O10</f>
        <v>4</v>
      </c>
      <c r="M84" s="257" t="n">
        <f aca="false">O11</f>
        <v>15</v>
      </c>
      <c r="N84" s="256" t="n">
        <f aca="false">P8</f>
        <v>1.5</v>
      </c>
      <c r="O84" s="256" t="n">
        <f aca="false">P9</f>
        <v>0.5</v>
      </c>
      <c r="P84" s="257" t="n">
        <f aca="false">P10</f>
        <v>1</v>
      </c>
      <c r="Q84" s="257" t="n">
        <f aca="false">P11</f>
        <v>2</v>
      </c>
      <c r="R84" s="257" t="n">
        <f aca="false">F21</f>
        <v>0.3388</v>
      </c>
      <c r="S84" s="257" t="n">
        <f aca="false">L11</f>
        <v>0</v>
      </c>
      <c r="T84" s="257" t="n">
        <f aca="false">L12</f>
        <v>2</v>
      </c>
      <c r="U84" s="257" t="n">
        <f aca="false">L13</f>
        <v>4</v>
      </c>
      <c r="V84" s="258" t="n">
        <f aca="false">L15</f>
        <v>0</v>
      </c>
      <c r="W84" s="259" t="n">
        <f aca="false">L15</f>
        <v>0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86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87</v>
      </c>
      <c r="S87" s="8"/>
      <c r="T87" s="263" t="n">
        <f aca="false">VLOOKUP($T$91,($A$23:$U$82),20,FALSE())</f>
        <v>26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88</v>
      </c>
      <c r="S88" s="8"/>
      <c r="T88" s="263" t="n">
        <f aca="false">VLOOKUP($T$91,($A$23:$U$82),21,FALSE())</f>
        <v>52</v>
      </c>
      <c r="U88" s="8"/>
      <c r="V88" s="8" t="n">
        <f aca="false">COUNTIF(V23:V82,T89)</f>
        <v>1</v>
      </c>
    </row>
    <row r="89" customFormat="false" ht="12.75" hidden="true" customHeight="false" outlineLevel="0" collapsed="false">
      <c r="C89" s="261"/>
      <c r="D89" s="261"/>
      <c r="E89" s="261"/>
      <c r="R89" s="8" t="s">
        <v>89</v>
      </c>
      <c r="S89" s="8"/>
      <c r="T89" s="263" t="n">
        <f aca="false">MAX($V$23:$V$82)</f>
        <v>4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90</v>
      </c>
      <c r="S90" s="8" t="s">
        <v>10</v>
      </c>
      <c r="T90" s="264" t="n">
        <f aca="false">IF(OR(ISERROR(SUM($U$23:$U$82)/SUM($V$23:$V$82)),F7&lt;&gt;100),-1,(SUM($U$23:$U$82)-T88)/(SUM($V$23:$V$82)-T89))</f>
        <v>8.57142857142857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91</v>
      </c>
      <c r="S91" s="212"/>
      <c r="T91" s="212" t="str">
        <f aca="false">INDEX('[1]liste reference'!$A$6:$A$1174,$U$91)</f>
        <v>CINRIP</v>
      </c>
      <c r="U91" s="8" t="n">
        <f aca="false">IF(ISERROR(MATCH($T$93,'[1]liste reference'!$A$6:$A$1174,0)),MATCH($T$93,'[1]liste reference'!$B$6:$B$1174,0),(MATCH($T$93,'[1]liste reference'!$A$6:$A$1174,0)))</f>
        <v>224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92</v>
      </c>
      <c r="S92" s="8"/>
      <c r="T92" s="8" t="n">
        <f aca="false">MATCH(T89,$V$23:$V$82,0)</f>
        <v>4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93</v>
      </c>
      <c r="S93" s="8"/>
      <c r="T93" s="212" t="str">
        <f aca="false">INDEX($A$23:$A$82,$T$92)</f>
        <v>CINRIP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2015-11-26T16:55:33Z</dcterms:created>
  <dc:creator>laurianne isebe</dc:creator>
  <dc:description/>
  <dc:language>fr-FR</dc:language>
  <cp:lastModifiedBy>laurianne isebe</cp:lastModifiedBy>
  <dcterms:modified xsi:type="dcterms:W3CDTF">2015-11-26T16:55:35Z</dcterms:modified>
  <cp:revision>0</cp:revision>
  <dc:subject/>
  <dc:title/>
</cp:coreProperties>
</file>