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<sst xmlns="http://schemas.openxmlformats.org/spreadsheetml/2006/main" count="108" uniqueCount="103">
  <si>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</si>
  <si>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</si>
  <si>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</si>
  <si>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LISEBE</t>
  </si>
  <si>
    <t xml:space="preserve">conforme AFNOR T90-395 oct. 2003</t>
  </si>
  <si>
    <t xml:space="preserve">EDIAN</t>
  </si>
  <si>
    <t xml:space="preserve">EDIAN A ABONDANCE</t>
  </si>
  <si>
    <t xml:space="preserve">06065450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</si>
  <si>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</si>
  <si>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</si>
  <si>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</si>
  <si>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</si>
  <si>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</si>
  <si>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</si>
  <si>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</si>
  <si>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</si>
  <si>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HYGLUR</t>
  </si>
  <si>
    <t xml:space="preserve">Faciès dominant</t>
  </si>
  <si>
    <t xml:space="preserve">rapide</t>
  </si>
  <si>
    <t xml:space="preserve">pl. lent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</si>
  <si>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</si>
  <si>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</si>
  <si>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</si>
  <si>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</si>
  <si>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</si>
  <si>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</si>
  <si>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</si>
  <si>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</si>
  <si>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</si>
  <si>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</si>
  <si>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</si>
  <si>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</si>
  <si>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</si>
  <si>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</si>
  <si>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</si>
  <si>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</si>
  <si>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</si>
  <si>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</si>
  <si>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</si>
  <si>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</si>
  <si>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</si>
  <si>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</si>
  <si>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</si>
  <si>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</si>
  <si>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</si>
  <si>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</si>
  <si>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</si>
  <si>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</si>
  <si>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</si>
  <si>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</si>
  <si>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</si>
  <si>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</si>
  <si>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</si>
  <si>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</si>
  <si>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</si>
  <si>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</si>
  <si>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</si>
  <si>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</si>
  <si>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</si>
  <si>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</si>
  <si>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</si>
  <si>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</si>
  <si>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</si>
  <si>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</si>
  <si>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</si>
  <si>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</si>
  <si>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</si>
  <si>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</si>
  <si>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</si>
  <si>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</si>
  <si>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</si>
  <si>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</si>
  <si>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</si>
  <si>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</si>
  <si>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</si>
  <si>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</si>
  <si>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</si>
  <si>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</si>
  <si>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HOMSPX</t>
  </si>
  <si>
    <t xml:space="preserve">HYUSPX</t>
  </si>
  <si>
    <t xml:space="preserve">MICSPX</t>
  </si>
  <si>
    <t xml:space="preserve">NOSSPX</t>
  </si>
  <si>
    <t xml:space="preserve">PHOSPX</t>
  </si>
  <si>
    <t xml:space="preserve">RHISPX</t>
  </si>
  <si>
    <t xml:space="preserve">SPISPX</t>
  </si>
  <si>
    <t xml:space="preserve">TOYSPX</t>
  </si>
  <si>
    <t xml:space="preserve">ULOSPX</t>
  </si>
  <si>
    <t xml:space="preserve">VAUSPX</t>
  </si>
  <si>
    <t xml:space="preserve">JUGATR</t>
  </si>
  <si>
    <t xml:space="preserve">PELEND</t>
  </si>
  <si>
    <t xml:space="preserve">CRACOM</t>
  </si>
  <si>
    <t xml:space="preserve">CRAFIL</t>
  </si>
  <si>
    <t xml:space="preserve">RHYRIP</t>
  </si>
  <si>
    <t xml:space="preserve">PETHYB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</si>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</sst>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EDIAN_16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14.9787234042553</v>
      </c>
      <c r="M5" s="53"/>
      <c r="N5" s="54" t="s">
        <v>16</v>
      </c>
      <c r="O5" s="55" t="n">
        <v>14.0263157894737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12.3846153846154</v>
      </c>
      <c r="O8" s="84" t="n">
        <f aca="false">IF(ISERROR(AVERAGE(J23:J82)),"      -",AVERAGE(J23:J82))</f>
        <v>1.84615384615385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24.83</v>
      </c>
      <c r="C9" s="87" t="n">
        <v>16.04</v>
      </c>
      <c r="D9" s="88"/>
      <c r="E9" s="88"/>
      <c r="F9" s="89" t="n">
        <f aca="false">($B9*$B$7+$C9*$C$7)/100</f>
        <v>23.951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4.82841686968468</v>
      </c>
      <c r="O9" s="84" t="n">
        <f aca="false">IF(ISERROR(STDEVP(J23:J82)),"      -",STDEVP(J23:J82))</f>
        <v>0.769230769230769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10.53</v>
      </c>
      <c r="C12" s="119" t="n">
        <v>3.31</v>
      </c>
      <c r="D12" s="111"/>
      <c r="E12" s="111"/>
      <c r="F12" s="112" t="n">
        <f aca="false">($B12*$B$7+$C12*$C$7)/100</f>
        <v>9.808</v>
      </c>
      <c r="G12" s="120"/>
      <c r="H12" s="68"/>
      <c r="I12" s="121" t="s">
        <v>39</v>
      </c>
      <c r="J12" s="121"/>
      <c r="K12" s="115" t="n">
        <f aca="false">COUNTIF($G$23:$G$82,"=ALG")</f>
        <v>10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14.3</v>
      </c>
      <c r="C13" s="119" t="n">
        <v>12.73</v>
      </c>
      <c r="D13" s="111"/>
      <c r="E13" s="111"/>
      <c r="F13" s="112" t="n">
        <f aca="false">($B13*$B$7+$C13*$C$7)/100</f>
        <v>14.143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6</v>
      </c>
      <c r="L13" s="116"/>
      <c r="M13" s="127" t="s">
        <v>42</v>
      </c>
      <c r="N13" s="128" t="n">
        <f aca="false">COUNTIF(F23:F82,"&gt;0")</f>
        <v>17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24.83</v>
      </c>
      <c r="C17" s="119" t="n">
        <v>16.04</v>
      </c>
      <c r="D17" s="111"/>
      <c r="E17" s="111"/>
      <c r="F17" s="143"/>
      <c r="G17" s="112" t="n">
        <f aca="false">($B17*$B$7+$C17*$C$7)/100</f>
        <v>23.951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23.951</v>
      </c>
      <c r="G19" s="156" t="n">
        <f aca="false">SUM(G16:G18)</f>
        <v>23.951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24.8286</v>
      </c>
      <c r="C20" s="166" t="n">
        <f aca="false">SUM(C23:C82)</f>
        <v>16.051</v>
      </c>
      <c r="D20" s="167"/>
      <c r="E20" s="168" t="s">
        <v>54</v>
      </c>
      <c r="F20" s="169" t="n">
        <f aca="false">($B20*$B$7+$C20*$C$7)/100</f>
        <v>23.95084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22.34574</v>
      </c>
      <c r="C21" s="179" t="n">
        <f aca="false">C20*C7/100</f>
        <v>1.6051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23.95084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0.45</v>
      </c>
      <c r="C23" s="205" t="n">
        <v>0.45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Homoeothrix sp.</v>
      </c>
      <c r="E23" s="206" t="e">
        <f aca="false">IF(D23="",0,VLOOKUP(D23,D$22:D22,1,0))</f>
        <v>#N/A</v>
      </c>
      <c r="F23" s="207" t="n">
        <f aca="false">($B23*$B$7+$C23*$C$7)/100</f>
        <v>0.45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str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/>
      </c>
      <c r="J23" s="210" t="str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/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Homoeothrix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6395</v>
      </c>
      <c r="Q23" s="215" t="n">
        <f aca="false">IF(ISTEXT(H23),"",(B23*$B$7/100)+(C23*$C$7/100))</f>
        <v>0.45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0</v>
      </c>
      <c r="T23" s="216" t="n">
        <f aca="false">IF(ISERROR(R23*I23*J23),0,R23*I23*J23)</f>
        <v>0</v>
      </c>
      <c r="U23" s="216" t="n">
        <f aca="false">IF(ISERROR(R23*J23),0,R23*J23)</f>
        <v>0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HOMSPX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31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7</v>
      </c>
      <c r="C24" s="224" t="n">
        <v>1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Hydrurus sp.</v>
      </c>
      <c r="E24" s="225" t="e">
        <f aca="false">IF(D24="",0,VLOOKUP(D24,D$22:D23,1,0))</f>
        <v>#N/A</v>
      </c>
      <c r="F24" s="226" t="n">
        <f aca="false">($B24*$B$7+$C24*$C$7)/100</f>
        <v>6.4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16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Hydrurus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6183</v>
      </c>
      <c r="Q24" s="215" t="n">
        <f aca="false">IF(ISTEXT(H24),"",(B24*$B$7/100)+(C24*$C$7/100))</f>
        <v>6.4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48</v>
      </c>
      <c r="T24" s="216" t="n">
        <f aca="false">IF(ISERROR(R24*I24*J24),0,R24*I24*J24)</f>
        <v>96</v>
      </c>
      <c r="U24" s="228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HYUSPX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33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0.006</v>
      </c>
      <c r="C25" s="224" t="n">
        <v>0.001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Microspora sp.</v>
      </c>
      <c r="E25" s="225" t="e">
        <f aca="false">IF(D25="",0,VLOOKUP(D25,D$22:D24,1,0))</f>
        <v>#N/A</v>
      </c>
      <c r="F25" s="226" t="n">
        <f aca="false">($B25*$B$7+$C25*$C$7)/100</f>
        <v>0.0055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Microspora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1132</v>
      </c>
      <c r="Q25" s="215" t="n">
        <f aca="false">IF(ISTEXT(H25),"",(B25*$B$7/100)+(C25*$C$7/100))</f>
        <v>0.0055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12</v>
      </c>
      <c r="T25" s="216" t="n">
        <f aca="false">IF(ISERROR(R25*I25*J25),0,R25*I25*J25)</f>
        <v>24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MICSPX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41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0.009</v>
      </c>
      <c r="C26" s="224" t="n">
        <v>0.3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Nostoc sp.</v>
      </c>
      <c r="E26" s="225" t="e">
        <f aca="false">IF(D26="",0,VLOOKUP(D26,D$22:D25,1,0))</f>
        <v>#N/A</v>
      </c>
      <c r="F26" s="226" t="n">
        <f aca="false">($B26*$B$7+$C26*$C$7)/100</f>
        <v>0.0381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9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Nostoc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1105</v>
      </c>
      <c r="Q26" s="215" t="n">
        <f aca="false">IF(ISTEXT(H26),"",(B26*$B$7/100)+(C26*$C$7/100))</f>
        <v>0.0381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9</v>
      </c>
      <c r="T26" s="216" t="n">
        <f aca="false">IF(ISERROR(R26*I26*J26),0,R26*I26*J26)</f>
        <v>9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NOSSPX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54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3.05</v>
      </c>
      <c r="C27" s="224" t="n">
        <v>1.55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Phormidium sp.</v>
      </c>
      <c r="E27" s="225" t="e">
        <f aca="false">IF(D27="",0,VLOOKUP(D27,D$22:D26,1,0))</f>
        <v>#N/A</v>
      </c>
      <c r="F27" s="226" t="n">
        <f aca="false">($B27*$B$7+$C27*$C$7)/100</f>
        <v>2.9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Phormidium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6414</v>
      </c>
      <c r="Q27" s="215" t="n">
        <f aca="false">IF(ISTEXT(H27),"",(B27*$B$7/100)+(C27*$C$7/100))</f>
        <v>2.9</v>
      </c>
      <c r="R27" s="216" t="n">
        <f aca="false">IF(OR(ISTEXT(H27),Q27=0),"",IF(Q27&lt;0.1,1,IF(Q27&lt;1,2,IF(Q27&lt;10,3,IF(Q27&lt;50,4,IF(Q27&gt;=50,5,""))))))</f>
        <v>3</v>
      </c>
      <c r="S27" s="216" t="n">
        <f aca="false">IF(ISERROR(R27*I27),0,R27*I27)</f>
        <v>39</v>
      </c>
      <c r="T27" s="216" t="n">
        <f aca="false">IF(ISERROR(R27*I27*J27),0,R27*I27*J27)</f>
        <v>78</v>
      </c>
      <c r="U27" s="228" t="n">
        <f aca="false">IF(ISERROR(R27*J27),0,R27*J27)</f>
        <v>6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PHOSPX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0.0001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Rhizoclonium sp.</v>
      </c>
      <c r="E28" s="225" t="e">
        <f aca="false">IF(D28="",0,VLOOKUP(D28,D$22:D27,1,0))</f>
        <v>#N/A</v>
      </c>
      <c r="F28" s="226" t="n">
        <f aca="false">($B28*$B$7+$C28*$C$7)/100</f>
        <v>9E-005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4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Rhizoclonium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1125</v>
      </c>
      <c r="Q28" s="215" t="n">
        <f aca="false">IF(ISTEXT(H28),"",(B28*$B$7/100)+(C28*$C$7/100))</f>
        <v>9E-005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4</v>
      </c>
      <c r="T28" s="216" t="n">
        <f aca="false">IF(ISERROR(R28*I28*J28),0,R28*I28*J28)</f>
        <v>8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RHISPX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62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</v>
      </c>
      <c r="C29" s="224" t="n">
        <v>0.01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Spirogyra sp.</v>
      </c>
      <c r="E29" s="225" t="e">
        <f aca="false">IF(D29="",0,VLOOKUP(D29,D$22:D28,1,0))</f>
        <v>#N/A</v>
      </c>
      <c r="F29" s="226" t="n">
        <f aca="false">($B29*$B$7+$C29*$C$7)/100</f>
        <v>0.001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10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Spirogyra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1147</v>
      </c>
      <c r="Q29" s="215" t="n">
        <f aca="false">IF(ISTEXT(H29),"",(B29*$B$7/100)+(C29*$C$7/100))</f>
        <v>0.001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10</v>
      </c>
      <c r="T29" s="216" t="n">
        <f aca="false">IF(ISERROR(R29*I29*J29),0,R29*I29*J29)</f>
        <v>10</v>
      </c>
      <c r="U29" s="228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SPISPX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69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0.0005</v>
      </c>
      <c r="C30" s="224" t="n">
        <v>0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Tolypothrix sp.</v>
      </c>
      <c r="E30" s="225" t="e">
        <f aca="false">IF(D30="",0,VLOOKUP(D30,D$22:D29,1,0))</f>
        <v>#N/A</v>
      </c>
      <c r="F30" s="226" t="n">
        <f aca="false">($B30*$B$7+$C30*$C$7)/100</f>
        <v>0.00045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Tolypothrix sp.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6304</v>
      </c>
      <c r="Q30" s="215" t="n">
        <f aca="false">IF(ISTEXT(H30),"",(B30*$B$7/100)+(C30*$C$7/100))</f>
        <v>0.00045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TOYSPX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79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 t="n">
        <v>0.009</v>
      </c>
      <c r="C31" s="224" t="n">
        <v>0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Ulothrix sp.</v>
      </c>
      <c r="E31" s="225" t="e">
        <f aca="false">IF(D31="",0,VLOOKUP(D31,D$22:D30,1,0))</f>
        <v>#N/A</v>
      </c>
      <c r="F31" s="226" t="n">
        <f aca="false">($B31*$B$7+$C31*$C$7)/100</f>
        <v>0.0081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10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Ulothrix sp.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1142</v>
      </c>
      <c r="Q31" s="215" t="n">
        <f aca="false">IF(ISTEXT(H31),"",(B31*$B$7/100)+(C31*$C$7/100))</f>
        <v>0.0081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10</v>
      </c>
      <c r="T31" s="216" t="n">
        <f aca="false">IF(ISERROR(R31*I31*J31),0,R31*I31*J31)</f>
        <v>10</v>
      </c>
      <c r="U31" s="228" t="n">
        <f aca="false">IF(ISERROR(R31*J31),0,R31*J31)</f>
        <v>1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ULOSPX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81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87</v>
      </c>
      <c r="B32" s="223" t="n">
        <v>0.004</v>
      </c>
      <c r="C32" s="224" t="n">
        <v>0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Vaucheria sp.</v>
      </c>
      <c r="E32" s="225" t="e">
        <f aca="false">IF(D32="",0,VLOOKUP(D32,D$22:D31,1,0))</f>
        <v>#N/A</v>
      </c>
      <c r="F32" s="226" t="n">
        <f aca="false">($B32*$B$7+$C32*$C$7)/100</f>
        <v>0.0036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ALG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2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4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Vaucheria sp.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6193</v>
      </c>
      <c r="Q32" s="215" t="n">
        <f aca="false">IF(ISTEXT(H32),"",(B32*$B$7/100)+(C32*$C$7/100))</f>
        <v>0.0036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4</v>
      </c>
      <c r="T32" s="216" t="n">
        <f aca="false">IF(ISERROR(R32*I32*J32),0,R32*I32*J32)</f>
        <v>4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VAUSPX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82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88</v>
      </c>
      <c r="B33" s="223" t="n">
        <v>0.495</v>
      </c>
      <c r="C33" s="224" t="n">
        <v>0.608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Jungermannia atrovirens</v>
      </c>
      <c r="E33" s="225" t="e">
        <f aca="false">IF(D33="",0,VLOOKUP(D33,D$22:D32,1,0))</f>
        <v>#N/A</v>
      </c>
      <c r="F33" s="226" t="n">
        <f aca="false">($B33*$B$7+$C33*$C$7)/100</f>
        <v>0.5063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BRh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4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19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3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Jungermannia atrovirens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19820</v>
      </c>
      <c r="Q33" s="215" t="n">
        <f aca="false">IF(ISTEXT(H33),"",(B33*$B$7/100)+(C33*$C$7/100))</f>
        <v>0.5063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38</v>
      </c>
      <c r="T33" s="216" t="n">
        <f aca="false">IF(ISERROR(R33*I33*J33),0,R33*I33*J33)</f>
        <v>114</v>
      </c>
      <c r="U33" s="228" t="n">
        <f aca="false">IF(ISERROR(R33*J33),0,R33*J33)</f>
        <v>6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JUGATR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101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89</v>
      </c>
      <c r="B34" s="223" t="n">
        <v>0</v>
      </c>
      <c r="C34" s="224" t="n">
        <v>0.01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Pellia endiviifolia</v>
      </c>
      <c r="E34" s="225" t="e">
        <f aca="false">IF(D34="",0,VLOOKUP(D34,D$22:D33,1,0))</f>
        <v>#N/A</v>
      </c>
      <c r="F34" s="230" t="n">
        <f aca="false">($B34*$B$7+$C34*$C$7)/100</f>
        <v>0.001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BRh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4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Pellia endiviifolia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1197</v>
      </c>
      <c r="Q34" s="215" t="n">
        <f aca="false">IF(ISTEXT(H34),"",(B34*$B$7/100)+(C34*$C$7/100))</f>
        <v>0.001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PELEND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120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90</v>
      </c>
      <c r="B35" s="223" t="n">
        <v>5.7</v>
      </c>
      <c r="C35" s="224" t="n">
        <v>3.01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Cratoneuron commutatum</v>
      </c>
      <c r="E35" s="225" t="e">
        <f aca="false">IF(D35="",0,VLOOKUP(D35,D$22:D34,1,0))</f>
        <v>#N/A</v>
      </c>
      <c r="F35" s="230" t="n">
        <f aca="false">($B35*$B$7+$C35*$C$7)/100</f>
        <v>5.431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15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Cratoneuron commutatum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1232</v>
      </c>
      <c r="Q35" s="215" t="n">
        <f aca="false">IF(ISTEXT(H35),"",(B35*$B$7/100)+(C35*$C$7/100))</f>
        <v>5.431</v>
      </c>
      <c r="R35" s="216" t="n">
        <f aca="false">IF(OR(ISTEXT(H35),Q35=0),"",IF(Q35&lt;0.1,1,IF(Q35&lt;1,2,IF(Q35&lt;10,3,IF(Q35&lt;50,4,IF(Q35&gt;=50,5,""))))))</f>
        <v>3</v>
      </c>
      <c r="S35" s="216" t="n">
        <f aca="false">IF(ISERROR(R35*I35),0,R35*I35)</f>
        <v>45</v>
      </c>
      <c r="T35" s="216" t="n">
        <f aca="false">IF(ISERROR(R35*I35*J35),0,R35*I35*J35)</f>
        <v>90</v>
      </c>
      <c r="U35" s="228" t="n">
        <f aca="false">IF(ISERROR(R35*J35),0,R35*J35)</f>
        <v>6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CRACOM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177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91</v>
      </c>
      <c r="B36" s="223" t="n">
        <v>0.005</v>
      </c>
      <c r="C36" s="224" t="n">
        <v>0.002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Cratoneuron filicinum</v>
      </c>
      <c r="E36" s="225" t="e">
        <f aca="false">IF(D36="",0,VLOOKUP(D36,D$22:D35,1,0))</f>
        <v>#N/A</v>
      </c>
      <c r="F36" s="230" t="n">
        <f aca="false">($B36*$B$7+$C36*$C$7)/100</f>
        <v>0.0047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BRm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5</v>
      </c>
      <c r="I36" s="210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18</v>
      </c>
      <c r="J36" s="210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3</v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Cratoneuron filicinum</v>
      </c>
      <c r="L36" s="227"/>
      <c r="M36" s="227"/>
      <c r="N36" s="227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1233</v>
      </c>
      <c r="Q36" s="215" t="n">
        <f aca="false">IF(ISTEXT(H36),"",(B36*$B$7/100)+(C36*$C$7/100))</f>
        <v>0.0047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18</v>
      </c>
      <c r="T36" s="216" t="n">
        <f aca="false">IF(ISERROR(R36*I36*J36),0,R36*I36*J36)</f>
        <v>54</v>
      </c>
      <c r="U36" s="228" t="n">
        <f aca="false">IF(ISERROR(R36*J36),0,R36*J36)</f>
        <v>3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CRAFIL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178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16</v>
      </c>
      <c r="B37" s="223" t="n">
        <v>8</v>
      </c>
      <c r="C37" s="224" t="n">
        <v>0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Hygrohypnum luridum</v>
      </c>
      <c r="E37" s="225" t="e">
        <f aca="false">IF(D37="",0,VLOOKUP(D37,D$22:D36,1,0))</f>
        <v>#N/A</v>
      </c>
      <c r="F37" s="230" t="n">
        <f aca="false">($B37*$B$7+$C37*$C$7)/100</f>
        <v>7.2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BRm</v>
      </c>
      <c r="H37" s="209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5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19</v>
      </c>
      <c r="J37" s="210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3</v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Hygrohypnum luridum</v>
      </c>
      <c r="L37" s="227"/>
      <c r="M37" s="227"/>
      <c r="N37" s="227"/>
      <c r="O37" s="213"/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1240</v>
      </c>
      <c r="Q37" s="215" t="n">
        <f aca="false">IF(ISTEXT(H37),"",(B37*$B$7/100)+(C37*$C$7/100))</f>
        <v>7.2</v>
      </c>
      <c r="R37" s="216" t="n">
        <f aca="false">IF(OR(ISTEXT(H37),Q37=0),"",IF(Q37&lt;0.1,1,IF(Q37&lt;1,2,IF(Q37&lt;10,3,IF(Q37&lt;50,4,IF(Q37&gt;=50,5,""))))))</f>
        <v>3</v>
      </c>
      <c r="S37" s="216" t="n">
        <f aca="false">IF(ISERROR(R37*I37),0,R37*I37)</f>
        <v>57</v>
      </c>
      <c r="T37" s="216" t="n">
        <f aca="false">IF(ISERROR(R37*I37*J37),0,R37*I37*J37)</f>
        <v>171</v>
      </c>
      <c r="U37" s="228" t="n">
        <f aca="false">IF(ISERROR(R37*J37),0,R37*J37)</f>
        <v>9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HYGLUR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219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92</v>
      </c>
      <c r="B38" s="223" t="n">
        <v>0.1</v>
      </c>
      <c r="C38" s="224" t="n">
        <v>9.1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Rhynchostegium riparioides</v>
      </c>
      <c r="E38" s="225" t="e">
        <f aca="false">IF(D38="",0,VLOOKUP(D38,D$22:D37,1,0))</f>
        <v>#N/A</v>
      </c>
      <c r="F38" s="230" t="n">
        <f aca="false">($B38*$B$7+$C38*$C$7)/100</f>
        <v>1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BRm</v>
      </c>
      <c r="H38" s="209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5</v>
      </c>
      <c r="I38" s="210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12</v>
      </c>
      <c r="J38" s="210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1</v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Rhynchostegium riparioides</v>
      </c>
      <c r="L38" s="227"/>
      <c r="M38" s="227"/>
      <c r="N38" s="227"/>
      <c r="O38" s="213"/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1268</v>
      </c>
      <c r="Q38" s="215" t="n">
        <f aca="false">IF(ISTEXT(H38),"",(B38*$B$7/100)+(C38*$C$7/100))</f>
        <v>1</v>
      </c>
      <c r="R38" s="216" t="n">
        <f aca="false">IF(OR(ISTEXT(H38),Q38=0),"",IF(Q38&lt;0.1,1,IF(Q38&lt;1,2,IF(Q38&lt;10,3,IF(Q38&lt;50,4,IF(Q38&gt;=50,5,""))))))</f>
        <v>3</v>
      </c>
      <c r="S38" s="216" t="n">
        <f aca="false">IF(ISERROR(R38*I38),0,R38*I38)</f>
        <v>36</v>
      </c>
      <c r="T38" s="216" t="n">
        <f aca="false">IF(ISERROR(R38*I38*J38),0,R38*I38*J38)</f>
        <v>36</v>
      </c>
      <c r="U38" s="228" t="n">
        <f aca="false">IF(ISERROR(R38*J38),0,R38*J38)</f>
        <v>3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RHYRIP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252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93</v>
      </c>
      <c r="B39" s="223" t="n">
        <v>0</v>
      </c>
      <c r="C39" s="224" t="n">
        <v>0.01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Petasites hybridus</v>
      </c>
      <c r="E39" s="225" t="e">
        <f aca="false">IF(D39="",0,VLOOKUP(D39,D$22:D38,1,0))</f>
        <v>#N/A</v>
      </c>
      <c r="F39" s="230" t="n">
        <f aca="false">($B39*$B$7+$C39*$C$7)/100</f>
        <v>0.001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PHg</v>
      </c>
      <c r="H39" s="209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9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Petasites hybridus</v>
      </c>
      <c r="L39" s="227"/>
      <c r="M39" s="227"/>
      <c r="N39" s="227"/>
      <c r="O39" s="213"/>
      <c r="P39" s="214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1745</v>
      </c>
      <c r="Q39" s="215" t="n">
        <f aca="false">IF(ISTEXT(H39),"",(B39*$B$7/100)+(C39*$C$7/100))</f>
        <v>0.001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>PETHYB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788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EDIAN</v>
      </c>
      <c r="B84" s="258" t="str">
        <f aca="false">C3</f>
        <v>EDIAN A ABONDANCE</v>
      </c>
      <c r="C84" s="259" t="n">
        <f aca="false">A4</f>
        <v>41471</v>
      </c>
      <c r="D84" s="260" t="n">
        <f aca="false">IF(ISERROR(SUM($T$23:$T$82)/SUM($U$23:$U$82)),"",SUM($T$23:$T$82)/SUM($U$23:$U$82))</f>
        <v>14.9787234042553</v>
      </c>
      <c r="E84" s="261" t="n">
        <f aca="false">N13</f>
        <v>17</v>
      </c>
      <c r="F84" s="258" t="n">
        <f aca="false">N14</f>
        <v>13</v>
      </c>
      <c r="G84" s="258" t="n">
        <f aca="false">N15</f>
        <v>5</v>
      </c>
      <c r="H84" s="258" t="n">
        <f aca="false">N16</f>
        <v>5</v>
      </c>
      <c r="I84" s="258" t="n">
        <f aca="false">N17</f>
        <v>3</v>
      </c>
      <c r="J84" s="262" t="n">
        <f aca="false">N8</f>
        <v>12.3846153846154</v>
      </c>
      <c r="K84" s="260" t="n">
        <f aca="false">N9</f>
        <v>4.82841686968468</v>
      </c>
      <c r="L84" s="261" t="n">
        <f aca="false">N10</f>
        <v>4</v>
      </c>
      <c r="M84" s="261" t="n">
        <f aca="false">N11</f>
        <v>19</v>
      </c>
      <c r="N84" s="260" t="n">
        <f aca="false">O8</f>
        <v>1.84615384615385</v>
      </c>
      <c r="O84" s="260" t="n">
        <f aca="false">O9</f>
        <v>0.769230769230769</v>
      </c>
      <c r="P84" s="261" t="n">
        <f aca="false">O10</f>
        <v>1</v>
      </c>
      <c r="Q84" s="261" t="n">
        <f aca="false">O11</f>
        <v>3</v>
      </c>
      <c r="R84" s="261" t="n">
        <f aca="false">F21</f>
        <v>23.95084</v>
      </c>
      <c r="S84" s="261" t="n">
        <f aca="false">K11</f>
        <v>0</v>
      </c>
      <c r="T84" s="261" t="n">
        <f aca="false">K12</f>
        <v>10</v>
      </c>
      <c r="U84" s="261" t="n">
        <f aca="false">K13</f>
        <v>6</v>
      </c>
      <c r="V84" s="263" t="n">
        <f aca="false">K14</f>
        <v>0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96</v>
      </c>
      <c r="R87" s="10"/>
      <c r="S87" s="217" t="n">
        <f aca="false">VLOOKUP(MAX($S$23:$S$82),($S$23:$U$82),1,0)</f>
        <v>57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97</v>
      </c>
      <c r="R88" s="10"/>
      <c r="S88" s="217" t="n">
        <f aca="false">VLOOKUP((S87),($S$23:$U$82),2,0)</f>
        <v>171</v>
      </c>
      <c r="T88" s="10"/>
      <c r="U88" s="10"/>
      <c r="V88" s="10"/>
    </row>
    <row r="89" customFormat="false" ht="12.75" hidden="true" customHeight="false" outlineLevel="0" collapsed="false">
      <c r="Q89" s="10" t="s">
        <v>98</v>
      </c>
      <c r="R89" s="10"/>
      <c r="S89" s="217" t="n">
        <f aca="false">VLOOKUP((S87),($S$23:$U$82),3,0)</f>
        <v>9</v>
      </c>
      <c r="T89" s="10"/>
    </row>
    <row r="90" customFormat="false" ht="12.75" hidden="false" customHeight="false" outlineLevel="0" collapsed="false">
      <c r="Q90" s="10" t="s">
        <v>99</v>
      </c>
      <c r="R90" s="10"/>
      <c r="S90" s="267" t="n">
        <f aca="false">IF(ISERROR(SUM($T$23:$T$82)/SUM($U$23:$U$82)),"",(SUM($T$23:$T$82)-S88)/(SUM($U$23:$U$82)-S89))</f>
        <v>14.0263157894737</v>
      </c>
      <c r="T90" s="10"/>
    </row>
    <row r="91" customFormat="false" ht="12.75" hidden="false" customHeight="false" outlineLevel="0" collapsed="false">
      <c r="Q91" s="216" t="s">
        <v>100</v>
      </c>
      <c r="R91" s="216"/>
      <c r="S91" s="216" t="str">
        <f aca="false">INDEX('[1]liste reference'!$A$8:$A$904,$T$91)</f>
        <v>HYGLUR</v>
      </c>
      <c r="T91" s="10" t="n">
        <f aca="false">IF(ISERROR(MATCH($S$93,'[1]liste reference'!$A$8:$A$904,0)),MATCH($S$93,'[1]liste reference'!$B$8:$B$904,0),(MATCH($S$93,'[1]liste reference'!$A$8:$A$904,0)))</f>
        <v>219</v>
      </c>
      <c r="U91" s="256"/>
    </row>
    <row r="92" customFormat="false" ht="12.75" hidden="false" customHeight="false" outlineLevel="0" collapsed="false">
      <c r="Q92" s="10" t="s">
        <v>101</v>
      </c>
      <c r="R92" s="10"/>
      <c r="S92" s="10" t="n">
        <f aca="false">MATCH(S87,$S$23:$S$82,0)</f>
        <v>15</v>
      </c>
      <c r="T92" s="10"/>
    </row>
    <row r="93" customFormat="false" ht="12.75" hidden="false" customHeight="false" outlineLevel="0" collapsed="false">
      <c r="Q93" s="216" t="s">
        <v>102</v>
      </c>
      <c r="R93" s="10"/>
      <c r="S93" s="216" t="str">
        <f aca="false">INDEX($A$23:$A$82,$S$92)</f>
        <v>HYGLUR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2014-04-10T12:09:39Z</dcterms:created>
  <dc:creator>Laurent Bourgoin</dc:creator>
  <dc:description/>
  <dc:language>fr-FR</dc:language>
  <cp:lastModifiedBy>Laurent Bourgoin</cp:lastModifiedBy>
  <dcterms:modified xsi:type="dcterms:W3CDTF">2014-04-10T12:10:02Z</dcterms:modified>
  <cp:revision>0</cp:revision>
  <dc:subject/>
  <dc:title/>
</cp:coreProperties>
</file>