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<sst xmlns="http://schemas.openxmlformats.org/spreadsheetml/2006/main" count="113" uniqueCount="106">
  <si>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</si>
  <si>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</si>
  <si>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</si>
  <si>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LISEBE SRENAHY</t>
  </si>
  <si>
    <t xml:space="preserve">conforme AFNOR T90-395 oct. 2003</t>
  </si>
  <si>
    <t xml:space="preserve">RHONE</t>
  </si>
  <si>
    <t xml:space="preserve">RHONE DE POUGNY</t>
  </si>
  <si>
    <t xml:space="preserve">06065700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</si>
  <si>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</si>
  <si>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</si>
  <si>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</si>
  <si>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</si>
  <si>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</si>
  <si>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</si>
  <si>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</si>
  <si>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</si>
  <si>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GLYFLU</t>
  </si>
  <si>
    <t xml:space="preserve">Faciès dominant</t>
  </si>
  <si>
    <t xml:space="preserve">ch. lotique</t>
  </si>
  <si>
    <t xml:space="preserve">ch.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</si>
  <si>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</si>
  <si>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</si>
  <si>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</si>
  <si>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</si>
  <si>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</si>
  <si>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</si>
  <si>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</si>
  <si>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</si>
  <si>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</si>
  <si>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</si>
  <si>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</si>
  <si>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</si>
  <si>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</si>
  <si>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</si>
  <si>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</si>
  <si>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</si>
  <si>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</si>
  <si>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</si>
  <si>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</si>
  <si>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</si>
  <si>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</si>
  <si>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</si>
  <si>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</si>
  <si>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</si>
  <si>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</si>
  <si>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</si>
  <si>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</si>
  <si>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</si>
  <si>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</si>
  <si>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</si>
  <si>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</si>
  <si>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</si>
  <si>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</si>
  <si>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</si>
  <si>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</si>
  <si>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</si>
  <si>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</si>
  <si>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</si>
  <si>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</si>
  <si>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</si>
  <si>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</si>
  <si>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</si>
  <si>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</si>
  <si>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</si>
  <si>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</si>
  <si>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</si>
  <si>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</si>
  <si>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</si>
  <si>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</si>
  <si>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</si>
  <si>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</si>
  <si>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</si>
  <si>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</si>
  <si>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</si>
  <si>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</si>
  <si>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</si>
  <si>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</si>
  <si>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</si>
  <si>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BANSPX</t>
  </si>
  <si>
    <t xml:space="preserve">CLASPX</t>
  </si>
  <si>
    <t xml:space="preserve">OEDSPX</t>
  </si>
  <si>
    <t xml:space="preserve">PHOSPX</t>
  </si>
  <si>
    <t xml:space="preserve">VAUSPX</t>
  </si>
  <si>
    <t xml:space="preserve">CAECUS</t>
  </si>
  <si>
    <t xml:space="preserve">EUPCAN</t>
  </si>
  <si>
    <t xml:space="preserve">JUNSPX</t>
  </si>
  <si>
    <t xml:space="preserve">LYTSAL</t>
  </si>
  <si>
    <t xml:space="preserve">MENAQU</t>
  </si>
  <si>
    <t xml:space="preserve">PHAARU</t>
  </si>
  <si>
    <t xml:space="preserve">PHRAUS</t>
  </si>
  <si>
    <t xml:space="preserve">POLHYD</t>
  </si>
  <si>
    <t xml:space="preserve">REYJAP</t>
  </si>
  <si>
    <t xml:space="preserve">SCNPUN</t>
  </si>
  <si>
    <t xml:space="preserve">newcod</t>
  </si>
  <si>
    <t xml:space="preserve">Salix elaeagnos </t>
  </si>
  <si>
    <t xml:space="preserve">Salix alba</t>
  </si>
  <si>
    <t xml:space="preserve">Solidago gigantea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</si>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</sst>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7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7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7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7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7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7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7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7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7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Temp/Temp1_IBMR_2013_rapports_reedites.zip/13011_RHOPO_23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41540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8.94736842105263</v>
      </c>
      <c r="M5" s="53"/>
      <c r="N5" s="54" t="s">
        <v>16</v>
      </c>
      <c r="O5" s="55" t="n">
        <v>8.35294117647059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62</v>
      </c>
      <c r="C7" s="67" t="n">
        <v>38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9.2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0.56</v>
      </c>
      <c r="C9" s="87" t="n">
        <v>0.02</v>
      </c>
      <c r="D9" s="88"/>
      <c r="E9" s="88"/>
      <c r="F9" s="89" t="n">
        <f aca="false">($B9*$B$7+$C9*$C$7)/100</f>
        <v>0.3548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3.09192496674806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0.49</v>
      </c>
      <c r="C12" s="119" t="n">
        <v>0.01</v>
      </c>
      <c r="D12" s="111"/>
      <c r="E12" s="111"/>
      <c r="F12" s="112" t="n">
        <f aca="false">($B12*$B$7+$C12*$C$7)/100</f>
        <v>0.3076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19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0.07</v>
      </c>
      <c r="C15" s="136" t="n">
        <v>0.01</v>
      </c>
      <c r="D15" s="111"/>
      <c r="E15" s="111"/>
      <c r="F15" s="112" t="n">
        <f aca="false">($B15*$B$7+$C15*$C$7)/100</f>
        <v>0.0472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0.49</v>
      </c>
      <c r="C17" s="119" t="n">
        <v>0.01</v>
      </c>
      <c r="D17" s="111"/>
      <c r="E17" s="111"/>
      <c r="F17" s="143"/>
      <c r="G17" s="112" t="n">
        <f aca="false">($B17*$B$7+$C17*$C$7)/100</f>
        <v>0.3076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0.07</v>
      </c>
      <c r="C18" s="146" t="n">
        <v>0.01</v>
      </c>
      <c r="D18" s="111"/>
      <c r="E18" s="147" t="s">
        <v>54</v>
      </c>
      <c r="F18" s="143"/>
      <c r="G18" s="112" t="n">
        <f aca="false">($B18*$B$7+$C18*$C$7)/100</f>
        <v>0.0472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0.3548</v>
      </c>
      <c r="G19" s="156" t="n">
        <f aca="false">SUM(G16:G18)</f>
        <v>0.3548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0.563380281690141</v>
      </c>
      <c r="C20" s="166" t="n">
        <f aca="false">SUM(C23:C82)</f>
        <v>0.0209867629362214</v>
      </c>
      <c r="D20" s="167"/>
      <c r="E20" s="168" t="s">
        <v>54</v>
      </c>
      <c r="F20" s="169" t="n">
        <f aca="false">($B20*$B$7+$C20*$C$7)/100</f>
        <v>0.357270744563652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0.349295774647887</v>
      </c>
      <c r="C21" s="179" t="n">
        <f aca="false">C20*C7/100</f>
        <v>0.00797496991576414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0.357270744563652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0.0704225352112676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Bangia sp.</v>
      </c>
      <c r="E23" s="207" t="e">
        <f aca="false">IF(D23="",0,VLOOKUP(D23,D$22:D22,1,0))</f>
        <v>#N/A</v>
      </c>
      <c r="F23" s="208" t="n">
        <f aca="false">($B23*$B$7+$C23*$C$7)/100</f>
        <v>0.0436619718309859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10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Bangia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1153</v>
      </c>
      <c r="Q23" s="216" t="n">
        <f aca="false">IF(ISTEXT(H23),"",(B23*$B$7/100)+(C23*$C$7/100))</f>
        <v>0.0436619718309859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10</v>
      </c>
      <c r="T23" s="217" t="n">
        <f aca="false">IF(ISERROR(R23*I23*J23),0,R23*I23*J23)</f>
        <v>20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BANSPX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0.211267605633803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0.130985915492958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6" t="n">
        <f aca="false">IF(ISTEXT(H24),"",(B24*$B$7/100)+(C24*$C$7/100))</f>
        <v>0.130985915492958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12</v>
      </c>
      <c r="T24" s="217" t="n">
        <f aca="false">IF(ISERROR(R24*I24*J24),0,R24*I24*J24)</f>
        <v>12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0.211267605633803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0.130985915492958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6" t="n">
        <f aca="false">IF(ISTEXT(H25),"",(B25*$B$7/100)+(C25*$C$7/100))</f>
        <v>0.130985915492958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12</v>
      </c>
      <c r="T25" s="217" t="n">
        <f aca="false">IF(ISERROR(R25*I25*J25),0,R25*I25*J25)</f>
        <v>24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0.00131167268351384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0.000498435619735259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6" t="n">
        <f aca="false">IF(ISTEXT(H26),"",(B26*$B$7/100)+(C26*$C$7/100))</f>
        <v>0.000498435619735259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</v>
      </c>
      <c r="C27" s="225" t="n">
        <v>0.00131167268351384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0.000498435619735259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6" t="n">
        <f aca="false">IF(ISTEXT(H27),"",(B27*$B$7/100)+(C27*$C$7/100))</f>
        <v>0.000498435619735259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4</v>
      </c>
      <c r="T27" s="217" t="n">
        <f aca="false">IF(ISERROR(R27*I27*J27),0,R27*I27*J27)</f>
        <v>4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0.00131167268351384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Calliergonella cuspidata</v>
      </c>
      <c r="E28" s="226" t="e">
        <f aca="false">IF(D28="",0,VLOOKUP(D28,D$22:D27,1,0))</f>
        <v>#N/A</v>
      </c>
      <c r="F28" s="227" t="n">
        <f aca="false">($B28*$B$7+$C28*$C$7)/100</f>
        <v>0.000498435619735259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Calliergonella cuspidata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1228</v>
      </c>
      <c r="Q28" s="216" t="n">
        <f aca="false">IF(ISTEXT(H28),"",(B28*$B$7/100)+(C28*$C$7/100))</f>
        <v>0.000498435619735259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CAECUS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169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</v>
      </c>
      <c r="C29" s="225" t="n">
        <v>0.00131167268351384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Eupatorium cannabinum</v>
      </c>
      <c r="E29" s="226" t="e">
        <f aca="false">IF(D29="",0,VLOOKUP(D29,D$22:D28,1,0))</f>
        <v>#N/A</v>
      </c>
      <c r="F29" s="227" t="n">
        <f aca="false">($B29*$B$7+$C29*$C$7)/100</f>
        <v>0.000498435619735259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PHe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8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Eupatorium cannabinum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1741</v>
      </c>
      <c r="Q29" s="216" t="n">
        <f aca="false">IF(ISTEXT(H29),"",(B29*$B$7/100)+(C29*$C$7/100))</f>
        <v>0.000498435619735259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EUPCAN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568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16</v>
      </c>
      <c r="B30" s="224" t="n">
        <v>0</v>
      </c>
      <c r="C30" s="225" t="n">
        <v>0.00131167268351384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Glyceria fluitans</v>
      </c>
      <c r="E30" s="226" t="e">
        <f aca="false">IF(D30="",0,VLOOKUP(D30,D$22:D29,1,0))</f>
        <v>#N/A</v>
      </c>
      <c r="F30" s="227" t="n">
        <f aca="false">($B30*$B$7+$C30*$C$7)/100</f>
        <v>0.000498435619735259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PHe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8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14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Glyceria fluitans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1564</v>
      </c>
      <c r="Q30" s="216" t="n">
        <f aca="false">IF(ISTEXT(H30),"",(B30*$B$7/100)+(C30*$C$7/100))</f>
        <v>0.000498435619735259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14</v>
      </c>
      <c r="T30" s="217" t="n">
        <f aca="false">IF(ISERROR(R30*I30*J30),0,R30*I30*J30)</f>
        <v>28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GLYFLU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575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0.0704225352112676</v>
      </c>
      <c r="C31" s="225" t="n">
        <v>0.00131167268351384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Juncus sp.</v>
      </c>
      <c r="E31" s="226" t="e">
        <f aca="false">IF(D31="",0,VLOOKUP(D31,D$22:D30,1,0))</f>
        <v>#N/A</v>
      </c>
      <c r="F31" s="227" t="n">
        <f aca="false">($B31*$B$7+$C31*$C$7)/100</f>
        <v>0.0441604074507212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Juncus sp.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1606</v>
      </c>
      <c r="Q31" s="216" t="n">
        <f aca="false">IF(ISTEXT(H31),"",(B31*$B$7/100)+(C31*$C$7/100))</f>
        <v>0.0441604074507212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JUNSPX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590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</v>
      </c>
      <c r="C32" s="225" t="n">
        <v>0.00131167268351384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Lythrum salicaria</v>
      </c>
      <c r="E32" s="226" t="e">
        <f aca="false">IF(D32="",0,VLOOKUP(D32,D$22:D31,1,0))</f>
        <v>#N/A</v>
      </c>
      <c r="F32" s="227" t="n">
        <f aca="false">($B32*$B$7+$C32*$C$7)/100</f>
        <v>0.000498435619735259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Lythrum salicaria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1823</v>
      </c>
      <c r="Q32" s="216" t="n">
        <f aca="false">IF(ISTEXT(H32),"",(B32*$B$7/100)+(C32*$C$7/100))</f>
        <v>0.000498435619735259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LYTSAL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605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0.00131167268351384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Mentha aquatica</v>
      </c>
      <c r="E33" s="226" t="e">
        <f aca="false">IF(D33="",0,VLOOKUP(D33,D$22:D32,1,0))</f>
        <v>#N/A</v>
      </c>
      <c r="F33" s="227" t="n">
        <f aca="false">($B33*$B$7+$C33*$C$7)/100</f>
        <v>0.000498435619735259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Mentha aquatica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1791</v>
      </c>
      <c r="Q33" s="216" t="n">
        <f aca="false">IF(ISTEXT(H33),"",(B33*$B$7/100)+(C33*$C$7/100))</f>
        <v>0.000498435619735259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12</v>
      </c>
      <c r="T33" s="217" t="n">
        <f aca="false">IF(ISERROR(R33*I33*J33),0,R33*I33*J33)</f>
        <v>12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MENAQU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607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0.00131167268351384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Phalaris arundinacea</v>
      </c>
      <c r="E34" s="226" t="e">
        <f aca="false">IF(D34="",0,VLOOKUP(D34,D$22:D33,1,0))</f>
        <v>#N/A</v>
      </c>
      <c r="F34" s="231" t="n">
        <f aca="false">($B34*$B$7+$C34*$C$7)/100</f>
        <v>0.000498435619735259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Phalaris arundinacea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1577</v>
      </c>
      <c r="Q34" s="216" t="n">
        <f aca="false">IF(ISTEXT(H34),"",(B34*$B$7/100)+(C34*$C$7/100))</f>
        <v>0.000498435619735259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10</v>
      </c>
      <c r="T34" s="217" t="n">
        <f aca="false">IF(ISERROR(R34*I34*J34),0,R34*I34*J34)</f>
        <v>10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PHAARU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634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</v>
      </c>
      <c r="C35" s="225" t="n">
        <v>0.00131167268351384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Phragmites australis</v>
      </c>
      <c r="E35" s="226" t="e">
        <f aca="false">IF(D35="",0,VLOOKUP(D35,D$22:D34,1,0))</f>
        <v>#N/A</v>
      </c>
      <c r="F35" s="231" t="n">
        <f aca="false">($B35*$B$7+$C35*$C$7)/100</f>
        <v>0.000498435619735259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9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Phragmites australis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1579</v>
      </c>
      <c r="Q35" s="216" t="n">
        <f aca="false">IF(ISTEXT(H35),"",(B35*$B$7/100)+(C35*$C$7/100))</f>
        <v>0.000498435619735259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9</v>
      </c>
      <c r="T35" s="217" t="n">
        <f aca="false">IF(ISERROR(R35*I35*J35),0,R35*I35*J35)</f>
        <v>18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PHRAUS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635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0.00131167268351384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Polygonum hydropiper</v>
      </c>
      <c r="E36" s="226" t="e">
        <f aca="false">IF(D36="",0,VLOOKUP(D36,D$22:D35,1,0))</f>
        <v>#N/A</v>
      </c>
      <c r="F36" s="231" t="n">
        <f aca="false">($B36*$B$7+$C36*$C$7)/100</f>
        <v>0.000498435619735259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8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Polygonum hydropiper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1865</v>
      </c>
      <c r="Q36" s="216" t="n">
        <f aca="false">IF(ISTEXT(H36),"",(B36*$B$7/100)+(C36*$C$7/100))</f>
        <v>0.000498435619735259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8</v>
      </c>
      <c r="T36" s="217" t="n">
        <f aca="false">IF(ISERROR(R36*I36*J36),0,R36*I36*J36)</f>
        <v>16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POLHYD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637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0.00131167268351384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Reynoutria japonica</v>
      </c>
      <c r="E37" s="226" t="e">
        <f aca="false">IF(D37="",0,VLOOKUP(D37,D$22:D36,1,0))</f>
        <v>#N/A</v>
      </c>
      <c r="F37" s="231" t="n">
        <f aca="false">($B37*$B$7+$C37*$C$7)/100</f>
        <v>0.000498435619735259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Reynoutria japonica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19988</v>
      </c>
      <c r="Q37" s="216" t="n">
        <f aca="false">IF(ISTEXT(H37),"",(B37*$B$7/100)+(C37*$C$7/100))</f>
        <v>0.000498435619735259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REYJAP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644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0.00131167268351384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Schoenoplectus pungens</v>
      </c>
      <c r="E38" s="226" t="e">
        <f aca="false">IF(D38="",0,VLOOKUP(D38,D$22:D37,1,0))</f>
        <v>#N/A</v>
      </c>
      <c r="F38" s="231" t="n">
        <f aca="false">($B38*$B$7+$C38*$C$7)/100</f>
        <v>0.000498435619735259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Schoenoplectus pungens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19680</v>
      </c>
      <c r="Q38" s="216" t="n">
        <f aca="false">IF(ISTEXT(H38),"",(B38*$B$7/100)+(C38*$C$7/100))</f>
        <v>0.000498435619735259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SCNPUN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659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</v>
      </c>
      <c r="C39" s="225" t="n">
        <v>0.00131167268351384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0.000498435619735259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Salix elaeagnos </v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 t="s">
        <v>94</v>
      </c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93</v>
      </c>
      <c r="B40" s="224" t="n">
        <v>0</v>
      </c>
      <c r="C40" s="225" t="n">
        <v>0.00131167268351384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0.000498435619735259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    -</v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Salix alba</v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No</v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newcod</v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 t="s">
        <v>95</v>
      </c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93</v>
      </c>
      <c r="B41" s="224" t="n">
        <v>0</v>
      </c>
      <c r="C41" s="225" t="n">
        <v>0.00131167268351384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0.000498435619735259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    -</v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Solidago gigantea</v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No</v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newcod</v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 t="s">
        <v>96</v>
      </c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RHONE</v>
      </c>
      <c r="B84" s="259" t="str">
        <f aca="false">C3</f>
        <v>RHONE DE POUGNY</v>
      </c>
      <c r="C84" s="260" t="n">
        <f aca="false">A4</f>
        <v>41540</v>
      </c>
      <c r="D84" s="261" t="n">
        <f aca="false">IF(ISERROR(SUM($T$23:$T$82)/SUM($U$23:$U$82)),"",SUM($T$23:$T$82)/SUM($U$23:$U$82))</f>
        <v>8.94736842105263</v>
      </c>
      <c r="E84" s="262" t="n">
        <f aca="false">N13</f>
        <v>19</v>
      </c>
      <c r="F84" s="259" t="n">
        <f aca="false">N14</f>
        <v>10</v>
      </c>
      <c r="G84" s="259" t="n">
        <f aca="false">N15</f>
        <v>4</v>
      </c>
      <c r="H84" s="259" t="n">
        <f aca="false">N16</f>
        <v>6</v>
      </c>
      <c r="I84" s="259" t="n">
        <f aca="false">N17</f>
        <v>0</v>
      </c>
      <c r="J84" s="263" t="n">
        <f aca="false">N8</f>
        <v>9.2</v>
      </c>
      <c r="K84" s="261" t="n">
        <f aca="false">N9</f>
        <v>3.09192496674806</v>
      </c>
      <c r="L84" s="262" t="n">
        <f aca="false">N10</f>
        <v>4</v>
      </c>
      <c r="M84" s="262" t="n">
        <f aca="false">N11</f>
        <v>14</v>
      </c>
      <c r="N84" s="261" t="n">
        <f aca="false">O8</f>
        <v>1.6</v>
      </c>
      <c r="O84" s="261" t="n">
        <f aca="false">O9</f>
        <v>0.489897948556636</v>
      </c>
      <c r="P84" s="262" t="n">
        <f aca="false">O10</f>
        <v>1</v>
      </c>
      <c r="Q84" s="262" t="n">
        <f aca="false">O11</f>
        <v>2</v>
      </c>
      <c r="R84" s="262" t="n">
        <f aca="false">F21</f>
        <v>0.357270744563652</v>
      </c>
      <c r="S84" s="262" t="n">
        <f aca="false">K11</f>
        <v>0</v>
      </c>
      <c r="T84" s="262" t="n">
        <f aca="false">K12</f>
        <v>5</v>
      </c>
      <c r="U84" s="262" t="n">
        <f aca="false">K13</f>
        <v>1</v>
      </c>
      <c r="V84" s="264" t="n">
        <f aca="false">K14</f>
        <v>0</v>
      </c>
      <c r="W84" s="265" t="n">
        <f aca="false">K15</f>
        <v>10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99</v>
      </c>
      <c r="R87" s="10"/>
      <c r="S87" s="218" t="n">
        <f aca="false">VLOOKUP(MAX($S$23:$S$82),($S$23:$U$82),1,0)</f>
        <v>14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100</v>
      </c>
      <c r="R88" s="10"/>
      <c r="S88" s="218" t="n">
        <f aca="false">VLOOKUP((S87),($S$23:$U$82),2,0)</f>
        <v>28</v>
      </c>
      <c r="T88" s="10"/>
      <c r="U88" s="10"/>
      <c r="V88" s="10"/>
    </row>
    <row r="89" customFormat="false" ht="12.75" hidden="true" customHeight="false" outlineLevel="0" collapsed="false">
      <c r="Q89" s="10" t="s">
        <v>101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102</v>
      </c>
      <c r="R90" s="10"/>
      <c r="S90" s="268" t="n">
        <f aca="false">IF(ISERROR(SUM($T$23:$T$82)/SUM($U$23:$U$82)),"",(SUM($T$23:$T$82)-S88)/(SUM($U$23:$U$82)-S89))</f>
        <v>8.35294117647059</v>
      </c>
      <c r="T90" s="10"/>
    </row>
    <row r="91" customFormat="false" ht="12.75" hidden="false" customHeight="false" outlineLevel="0" collapsed="false">
      <c r="Q91" s="217" t="s">
        <v>103</v>
      </c>
      <c r="R91" s="217"/>
      <c r="S91" s="217" t="str">
        <f aca="false">INDEX('[1]liste reference'!$A$8:$A$904,$T$91)</f>
        <v>GLYFLU</v>
      </c>
      <c r="T91" s="10" t="n">
        <f aca="false">IF(ISERROR(MATCH($S$93,'[1]liste reference'!$A$8:$A$904,0)),MATCH($S$93,'[1]liste reference'!$B$8:$B$904,0),(MATCH($S$93,'[1]liste reference'!$A$8:$A$904,0)))</f>
        <v>575</v>
      </c>
      <c r="U91" s="257"/>
    </row>
    <row r="92" customFormat="false" ht="12.75" hidden="false" customHeight="false" outlineLevel="0" collapsed="false">
      <c r="Q92" s="10" t="s">
        <v>104</v>
      </c>
      <c r="R92" s="10"/>
      <c r="S92" s="10" t="n">
        <f aca="false">MATCH(S87,$S$23:$S$82,0)</f>
        <v>8</v>
      </c>
      <c r="T92" s="10"/>
    </row>
    <row r="93" customFormat="false" ht="12.75" hidden="false" customHeight="false" outlineLevel="0" collapsed="false">
      <c r="Q93" s="217" t="s">
        <v>105</v>
      </c>
      <c r="R93" s="10"/>
      <c r="S93" s="217" t="str">
        <f aca="false">INDEX($A$23:$A$82,$S$92)</f>
        <v>GLYFLU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2015-11-26T11:29:02Z</dcterms:created>
  <dc:creator>laurianne isebe</dc:creator>
  <dc:description/>
  <dc:language>fr-FR</dc:language>
  <cp:lastModifiedBy>IMBERT Loïc</cp:lastModifiedBy>
  <dcterms:modified xsi:type="dcterms:W3CDTF">2016-02-09T12:10:51Z</dcterms:modified>
  <cp:revision>0</cp:revision>
  <dc:subject/>
  <dc:title/>
</cp:coreProperties>
</file>