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<sst xmlns="http://schemas.openxmlformats.org/spreadsheetml/2006/main" count="94" uniqueCount="90">
  <si>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</si>
  <si>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</si>
  <si>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</si>
  <si>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</si>
  <si>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</si>
  <si>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Usses</t>
  </si>
  <si>
    <t xml:space="preserve">USSE A CRUSEILLES</t>
  </si>
  <si>
    <t xml:space="preserve">06068900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</si>
  <si>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</si>
  <si>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</si>
  <si>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</si>
  <si>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</si>
  <si>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</si>
  <si>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</si>
  <si>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</si>
  <si>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</si>
  <si>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</si>
  <si>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</si>
  <si>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</si>
  <si>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</si>
  <si>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</si>
  <si>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</si>
  <si>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</si>
  <si>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</si>
  <si>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</si>
  <si>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</si>
  <si>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</si>
  <si>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</si>
  <si>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</si>
  <si>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</si>
  <si>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</si>
  <si>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</si>
  <si>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</si>
  <si>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</si>
  <si>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</si>
  <si>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</si>
  <si>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</si>
  <si>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</si>
  <si>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</si>
  <si>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</si>
  <si>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</si>
  <si>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</si>
  <si>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</si>
  <si>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</si>
  <si>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</si>
  <si>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</si>
  <si>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</si>
  <si>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</si>
  <si>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</si>
  <si>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</si>
  <si>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</si>
  <si>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</si>
  <si>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</si>
  <si>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</si>
  <si>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</si>
  <si>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</si>
  <si>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</si>
  <si>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</si>
  <si>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</si>
  <si>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</si>
  <si>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</si>
  <si>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</si>
  <si>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</si>
  <si>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</si>
  <si>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</si>
  <si>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</si>
  <si>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</si>
  <si>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</si>
  <si>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</si>
  <si>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</si>
  <si>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</si>
  <si>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</si>
  <si>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</si>
  <si>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</si>
  <si>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</si>
  <si>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</si>
  <si>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</si>
  <si>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</si>
  <si>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AMBFLU</t>
  </si>
  <si>
    <t xml:space="preserve">AMBRIP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</si>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</sst>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USCRU_11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9.25</v>
      </c>
      <c r="M5" s="53"/>
      <c r="N5" s="54" t="s">
        <v>16</v>
      </c>
      <c r="O5" s="55" t="n">
        <v>8.33333333333333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9.2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0.04</v>
      </c>
      <c r="C9" s="87" t="n">
        <v>0.02</v>
      </c>
      <c r="D9" s="88"/>
      <c r="E9" s="88"/>
      <c r="F9" s="89" t="n">
        <f aca="false">($B9*$B$7+$C9*$C$7)/100</f>
        <v>0.036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3.05941170815567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5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12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0.01</v>
      </c>
      <c r="C12" s="119" t="n">
        <v>0.01</v>
      </c>
      <c r="D12" s="111"/>
      <c r="E12" s="111"/>
      <c r="F12" s="112" t="n">
        <f aca="false">($B12*$B$7+$C12*$C$7)/100</f>
        <v>0.01</v>
      </c>
      <c r="G12" s="120"/>
      <c r="H12" s="68"/>
      <c r="I12" s="121" t="s">
        <v>38</v>
      </c>
      <c r="J12" s="121"/>
      <c r="K12" s="115" t="n">
        <f aca="false">COUNTIF($G$23:$G$82,"=ALG")</f>
        <v>1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0.03</v>
      </c>
      <c r="C13" s="119" t="n">
        <v>0.01</v>
      </c>
      <c r="D13" s="111"/>
      <c r="E13" s="111"/>
      <c r="F13" s="112" t="n">
        <f aca="false">($B13*$B$7+$C13*$C$7)/100</f>
        <v>0.026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0.04</v>
      </c>
      <c r="C17" s="119" t="n">
        <v>0.02</v>
      </c>
      <c r="D17" s="111"/>
      <c r="E17" s="111"/>
      <c r="F17" s="143"/>
      <c r="G17" s="112" t="n">
        <f aca="false">($B17*$B$7+$C17*$C$7)/100</f>
        <v>0.036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0.036</v>
      </c>
      <c r="G19" s="156" t="n">
        <f aca="false">SUM(G16:G18)</f>
        <v>0.036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0.04</v>
      </c>
      <c r="C20" s="166" t="n">
        <f aca="false">SUM(C23:C82)</f>
        <v>0.02</v>
      </c>
      <c r="D20" s="167"/>
      <c r="E20" s="168" t="s">
        <v>53</v>
      </c>
      <c r="F20" s="169" t="n">
        <f aca="false">($B20*$B$7+$C20*$C$7)/100</f>
        <v>0.036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0.032</v>
      </c>
      <c r="C21" s="179" t="n">
        <f aca="false">C20*C7/100</f>
        <v>0.004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0.036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0.01</v>
      </c>
      <c r="C23" s="205" t="n">
        <v>0.01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0.01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0.01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0.01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Amblystegium fluviatile</v>
      </c>
      <c r="E24" s="225" t="e">
        <f aca="false">IF(D24="",0,VLOOKUP(D24,D$22:D23,1,0))</f>
        <v>#N/A</v>
      </c>
      <c r="F24" s="226" t="n">
        <f aca="false">($B24*$B$7+$C24*$C$7)/100</f>
        <v>0.008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BRm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5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11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Amblystegium fluviatile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1223</v>
      </c>
      <c r="Q24" s="215" t="n">
        <f aca="false">IF(ISTEXT(H24),"",(B24*$B$7/100)+(C24*$C$7/100))</f>
        <v>0.008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11</v>
      </c>
      <c r="T24" s="216" t="n">
        <f aca="false">IF(ISERROR(R24*I24*J24),0,R24*I24*J24)</f>
        <v>22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AMBFLU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147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Amblystegium riparium</v>
      </c>
      <c r="E25" s="225" t="e">
        <f aca="false">IF(D25="",0,VLOOKUP(D25,D$22:D24,1,0))</f>
        <v>#N/A</v>
      </c>
      <c r="F25" s="226" t="n">
        <f aca="false">($B25*$B$7+$C25*$C$7)/100</f>
        <v>0.008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5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Amblystegium riparium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1219</v>
      </c>
      <c r="Q25" s="215" t="n">
        <f aca="false">IF(ISTEXT(H25),"",(B25*$B$7/100)+(C25*$C$7/100))</f>
        <v>0.008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5</v>
      </c>
      <c r="T25" s="216" t="n">
        <f aca="false">IF(ISERROR(R25*I25*J25),0,R25*I25*J25)</f>
        <v>10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AMBRIP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148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16</v>
      </c>
      <c r="B26" s="223" t="n">
        <v>0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Fissidens crassipes</v>
      </c>
      <c r="E26" s="225" t="e">
        <f aca="false">IF(D26="",0,VLOOKUP(D26,D$22:D25,1,0))</f>
        <v>#N/A</v>
      </c>
      <c r="F26" s="226" t="n">
        <f aca="false">($B26*$B$7+$C26*$C$7)/100</f>
        <v>0.002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Fissidens crassipes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1294</v>
      </c>
      <c r="Q26" s="215" t="n">
        <f aca="false">IF(ISTEXT(H26),"",(B26*$B$7/100)+(C26*$C$7/100))</f>
        <v>0.002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24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FISCRA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197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Rhynchostegium riparioides</v>
      </c>
      <c r="E27" s="225" t="e">
        <f aca="false">IF(D27="",0,VLOOKUP(D27,D$22:D26,1,0))</f>
        <v>#N/A</v>
      </c>
      <c r="F27" s="226" t="n">
        <f aca="false">($B27*$B$7+$C27*$C$7)/100</f>
        <v>0.008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Rhynchostegium riparioides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1268</v>
      </c>
      <c r="Q27" s="215" t="n">
        <f aca="false">IF(ISTEXT(H27),"",(B27*$B$7/100)+(C27*$C$7/100))</f>
        <v>0.008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RHYRIP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252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09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09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Usses</v>
      </c>
      <c r="B84" s="258" t="str">
        <f aca="false">C3</f>
        <v>USSE A CRUSEILLES</v>
      </c>
      <c r="C84" s="259" t="n">
        <f aca="false">A4</f>
        <v>41466</v>
      </c>
      <c r="D84" s="260" t="n">
        <f aca="false">IF(ISERROR(SUM($T$23:$T$82)/SUM($U$23:$U$82)),"",SUM($T$23:$T$82)/SUM($U$23:$U$82))</f>
        <v>9.25</v>
      </c>
      <c r="E84" s="261" t="n">
        <f aca="false">N13</f>
        <v>5</v>
      </c>
      <c r="F84" s="258" t="n">
        <f aca="false">N14</f>
        <v>5</v>
      </c>
      <c r="G84" s="258" t="n">
        <f aca="false">N15</f>
        <v>2</v>
      </c>
      <c r="H84" s="258" t="n">
        <f aca="false">N16</f>
        <v>3</v>
      </c>
      <c r="I84" s="258" t="n">
        <f aca="false">N17</f>
        <v>0</v>
      </c>
      <c r="J84" s="262" t="n">
        <f aca="false">N8</f>
        <v>9.2</v>
      </c>
      <c r="K84" s="260" t="n">
        <f aca="false">N9</f>
        <v>3.05941170815567</v>
      </c>
      <c r="L84" s="261" t="n">
        <f aca="false">N10</f>
        <v>5</v>
      </c>
      <c r="M84" s="261" t="n">
        <f aca="false">N11</f>
        <v>12</v>
      </c>
      <c r="N84" s="260" t="n">
        <f aca="false">O8</f>
        <v>1.6</v>
      </c>
      <c r="O84" s="260" t="n">
        <f aca="false">O9</f>
        <v>0.489897948556636</v>
      </c>
      <c r="P84" s="261" t="n">
        <f aca="false">O10</f>
        <v>1</v>
      </c>
      <c r="Q84" s="261" t="n">
        <f aca="false">O11</f>
        <v>2</v>
      </c>
      <c r="R84" s="261" t="n">
        <f aca="false">F21</f>
        <v>0.036</v>
      </c>
      <c r="S84" s="261" t="n">
        <f aca="false">K11</f>
        <v>0</v>
      </c>
      <c r="T84" s="261" t="n">
        <f aca="false">K12</f>
        <v>1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83</v>
      </c>
      <c r="R87" s="10"/>
      <c r="S87" s="217" t="n">
        <f aca="false">VLOOKUP(MAX($S$23:$S$82),($S$23:$U$82),1,0)</f>
        <v>12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84</v>
      </c>
      <c r="R88" s="10"/>
      <c r="S88" s="217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85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86</v>
      </c>
      <c r="R90" s="10"/>
      <c r="S90" s="267" t="n">
        <f aca="false">IF(ISERROR(SUM($T$23:$T$82)/SUM($U$23:$U$82)),"",(SUM($T$23:$T$82)-S88)/(SUM($U$23:$U$82)-S89))</f>
        <v>8.33333333333333</v>
      </c>
      <c r="T90" s="10"/>
    </row>
    <row r="91" customFormat="false" ht="12.75" hidden="false" customHeight="false" outlineLevel="0" collapsed="false">
      <c r="Q91" s="216" t="s">
        <v>87</v>
      </c>
      <c r="R91" s="216"/>
      <c r="S91" s="216" t="str">
        <f aca="false">INDEX('[1]liste reference'!$A$8:$A$904,$T$91)</f>
        <v>FISCRA</v>
      </c>
      <c r="T91" s="10" t="n">
        <f aca="false">IF(ISERROR(MATCH($S$93,'[1]liste reference'!$A$8:$A$904,0)),MATCH($S$93,'[1]liste reference'!$B$8:$B$904,0),(MATCH($S$93,'[1]liste reference'!$A$8:$A$904,0)))</f>
        <v>197</v>
      </c>
      <c r="U91" s="256"/>
    </row>
    <row r="92" customFormat="false" ht="12.75" hidden="false" customHeight="false" outlineLevel="0" collapsed="false">
      <c r="Q92" s="10" t="s">
        <v>88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6" t="s">
        <v>89</v>
      </c>
      <c r="R93" s="10"/>
      <c r="S93" s="216" t="str">
        <f aca="false">INDEX($A$23:$A$82,$S$92)</f>
        <v>FISCRA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2013-11-26T13:22:48Z</dcterms:created>
  <dc:creator>Laurent Bourgoin</dc:creator>
  <dc:description/>
  <dc:language>fr-FR</dc:language>
  <cp:lastModifiedBy>Laurent Bourgoin</cp:lastModifiedBy>
  <dcterms:modified xsi:type="dcterms:W3CDTF">2013-11-26T13:37:40Z</dcterms:modified>
  <cp:revision>0</cp:revision>
  <dc:subject/>
  <dc:title/>
</cp:coreProperties>
</file>