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<sst xmlns="http://schemas.openxmlformats.org/spreadsheetml/2006/main" count="155" uniqueCount="91">
  <si>
    <t xml:space="preserve">Relevés floristiques aquatiques - IBMR</t>
  </si>
  <si>
    <t xml:space="preserve">modèle Irstea-GIS</t>
  </si>
  <si>
    <t xml:space="preserve">SAGE</t>
  </si>
  <si>
    <t xml:space="preserve">C. BERNARD P. BELLY</t>
  </si>
  <si>
    <t xml:space="preserve">USSES</t>
  </si>
  <si>
    <t xml:space="preserve">USSES  A CRUSEILLES</t>
  </si>
  <si>
    <t xml:space="preserve">06068900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</si>
  <si>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</si>
  <si>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</si>
  <si>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</si>
  <si>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</si>
  <si>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</si>
  <si>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</si>
  <si>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</si>
  <si>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</si>
  <si>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</si>
  <si>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FISCRA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</si>
  <si>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</si>
  <si>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</si>
  <si>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</si>
  <si>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</si>
  <si>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élevé</t>
  </si>
  <si>
    <t xml:space="preserve">très élevé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</si>
  <si>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</si>
  <si>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</si>
  <si>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</si>
  <si>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</si>
  <si>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</si>
  <si>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</si>
  <si>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</si>
  <si>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</si>
  <si>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</si>
  <si>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</si>
  <si>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</si>
  <si>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</si>
  <si>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</si>
  <si>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</si>
  <si>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</si>
  <si>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</si>
  <si>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</si>
  <si>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</si>
  <si>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</si>
  <si>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</si>
  <si>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</si>
  <si>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</si>
  <si>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</si>
  <si>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</si>
  <si>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</si>
  <si>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</si>
  <si>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</si>
  <si>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</si>
  <si>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</si>
  <si>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</si>
  <si>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</si>
  <si>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</si>
  <si>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</si>
  <si>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</si>
  <si>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</si>
  <si>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</si>
  <si>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</si>
  <si>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</si>
  <si>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</si>
  <si>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</si>
  <si>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</si>
  <si>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</si>
  <si>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</si>
  <si>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</si>
  <si>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</si>
  <si>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</si>
  <si>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</si>
  <si>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</si>
  <si>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</si>
  <si>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</si>
  <si>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</si>
  <si>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</si>
  <si>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</si>
  <si>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</si>
  <si>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</si>
  <si>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</si>
  <si>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</si>
  <si>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</si>
  <si>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LEORIP</t>
  </si>
  <si>
    <t xml:space="preserve">RHYRIP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</si>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</sst>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USCRU_23-06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42178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8.66666666666667</v>
      </c>
      <c r="N5" s="51"/>
      <c r="O5" s="52" t="s">
        <v>16</v>
      </c>
      <c r="P5" s="53" t="n">
        <v>7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2</v>
      </c>
      <c r="P6" s="65" t="s">
        <v>22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23</v>
      </c>
      <c r="B7" s="68" t="n">
        <v>80</v>
      </c>
      <c r="C7" s="69" t="n">
        <v>20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24</v>
      </c>
      <c r="P7" s="78" t="s">
        <v>25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26</v>
      </c>
      <c r="B8" s="43"/>
      <c r="C8" s="43"/>
      <c r="D8" s="57"/>
      <c r="E8" s="57"/>
      <c r="F8" s="80" t="s">
        <v>27</v>
      </c>
      <c r="G8" s="81"/>
      <c r="H8" s="57"/>
      <c r="I8" s="8"/>
      <c r="J8" s="72"/>
      <c r="K8" s="73"/>
      <c r="L8" s="74"/>
      <c r="M8" s="75"/>
      <c r="N8" s="82" t="s">
        <v>28</v>
      </c>
      <c r="O8" s="83" t="n">
        <f aca="false">IF(ISERROR(AVERAGE(J23:J82))," ",AVERAGE(J23:J82))</f>
        <v>8.75</v>
      </c>
      <c r="P8" s="83" t="n">
        <f aca="false">IF(ISERROR(AVERAGE(K23:K82)),"  ",AVERAGE(K23:K82))</f>
        <v>1.5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29</v>
      </c>
      <c r="B9" s="85" t="n">
        <v>0.14</v>
      </c>
      <c r="C9" s="86" t="n">
        <v>0.2</v>
      </c>
      <c r="D9" s="87"/>
      <c r="E9" s="87"/>
      <c r="F9" s="88" t="n">
        <f aca="false">($B9*$B$7+$C9*$C$7)/100</f>
        <v>0.152</v>
      </c>
      <c r="G9" s="89"/>
      <c r="H9" s="44"/>
      <c r="I9" s="8"/>
      <c r="J9" s="90"/>
      <c r="K9" s="91"/>
      <c r="L9" s="74"/>
      <c r="M9" s="92"/>
      <c r="N9" s="82" t="s">
        <v>30</v>
      </c>
      <c r="O9" s="83" t="n">
        <f aca="false">IF(ISERROR(STDEVP(J23:J82))," ",STDEVP(J23:J82))</f>
        <v>3.26917420765551</v>
      </c>
      <c r="P9" s="83" t="n">
        <f aca="false">IF(ISERROR(STDEVP(K23:K82)),"  ",STDEVP(K23:K82))</f>
        <v>0.5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31</v>
      </c>
      <c r="B10" s="93"/>
      <c r="C10" s="94"/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5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12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0.01</v>
      </c>
      <c r="C12" s="111" t="n">
        <v>0.1</v>
      </c>
      <c r="D12" s="87"/>
      <c r="E12" s="87"/>
      <c r="F12" s="104" t="n">
        <f aca="false">($B12*$B$7+$C12*$C$7)/100</f>
        <v>0.028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1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 t="n">
        <v>0.13</v>
      </c>
      <c r="C13" s="111" t="n">
        <v>0.1</v>
      </c>
      <c r="D13" s="87"/>
      <c r="E13" s="87"/>
      <c r="F13" s="104" t="n">
        <f aca="false">($B13*$B$7+$C13*$C$7)/100</f>
        <v>0.124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3</v>
      </c>
      <c r="M13" s="108"/>
      <c r="N13" s="116" t="s">
        <v>41</v>
      </c>
      <c r="O13" s="117" t="n">
        <f aca="false">COUNTIF(F23:F82,"&gt;0")</f>
        <v>4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0</v>
      </c>
      <c r="M14" s="108"/>
      <c r="N14" s="119" t="s">
        <v>44</v>
      </c>
      <c r="O14" s="120" t="n">
        <f aca="false">COUNTIF($J$23:$J$82,"&gt;-1")</f>
        <v>4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47</v>
      </c>
      <c r="O15" s="117" t="n">
        <f aca="false">COUNTIF(K23:K82,"=1")</f>
        <v>2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2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0.14</v>
      </c>
      <c r="C17" s="111" t="n">
        <v>0.1</v>
      </c>
      <c r="D17" s="87"/>
      <c r="E17" s="87"/>
      <c r="F17" s="129"/>
      <c r="G17" s="130" t="n">
        <f aca="false">($B17*$B$7+$C17*$C$7)/100</f>
        <v>0.132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1</v>
      </c>
      <c r="N17" s="116" t="s">
        <v>52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/>
      <c r="C18" s="138"/>
      <c r="D18" s="87"/>
      <c r="E18" s="139" t="s">
        <v>54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0.152</v>
      </c>
      <c r="G19" s="150" t="n">
        <f aca="false">SUM(G16:G18)</f>
        <v>0.132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0.14</v>
      </c>
      <c r="C20" s="160" t="n">
        <f aca="false">SUM(C23:C62)</f>
        <v>0.2</v>
      </c>
      <c r="D20" s="161"/>
      <c r="E20" s="162" t="s">
        <v>54</v>
      </c>
      <c r="F20" s="163" t="n">
        <f aca="false">($B20*$B$7+$C20*$C$7)/100</f>
        <v>0.152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0.112</v>
      </c>
      <c r="C21" s="171" t="n">
        <f aca="false">C20*C7/100</f>
        <v>0.04</v>
      </c>
      <c r="D21" s="172" t="s">
        <v>57</v>
      </c>
      <c r="E21" s="173"/>
      <c r="F21" s="174" t="n">
        <f aca="false">B21+C21</f>
        <v>0.152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79</v>
      </c>
      <c r="B23" s="199" t="n">
        <v>0.01</v>
      </c>
      <c r="C23" s="200" t="n">
        <v>0.1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0.028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80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0.028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6</v>
      </c>
      <c r="U23" s="212" t="n">
        <f aca="false">IF(ISERROR(S23*J23*K23),0,S23*J23*K23)</f>
        <v>6</v>
      </c>
      <c r="V23" s="212" t="n">
        <f aca="false">IF(ISERROR(S23*K23),0,S23*K23)</f>
        <v>1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16</v>
      </c>
      <c r="B24" s="217" t="n">
        <v>0.01</v>
      </c>
      <c r="C24" s="218" t="n">
        <v>0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Fissidens crassipes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0.008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BRm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5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12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Fissidens crassipes</v>
      </c>
      <c r="M24" s="225"/>
      <c r="N24" s="225"/>
      <c r="O24" s="225"/>
      <c r="P24" s="226" t="s">
        <v>80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1294</v>
      </c>
      <c r="R24" s="211" t="n">
        <f aca="false">IF(ISTEXT(H24),"",(B24*$B$7/100)+(C24*$C$7/100))</f>
        <v>0.008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12</v>
      </c>
      <c r="U24" s="212" t="n">
        <f aca="false">IF(ISERROR(S24*J24*K24),0,S24*J24*K24)</f>
        <v>24</v>
      </c>
      <c r="V24" s="228" t="n">
        <f aca="false">IF(ISERROR(S24*K24),0,S24*K24)</f>
        <v>2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FISCRA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255</v>
      </c>
    </row>
    <row r="25" customFormat="false" ht="12.75" hidden="false" customHeight="false" outlineLevel="0" collapsed="false">
      <c r="A25" s="216" t="s">
        <v>81</v>
      </c>
      <c r="B25" s="217" t="n">
        <v>0.05</v>
      </c>
      <c r="C25" s="218" t="n">
        <v>0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Leptodictyum riparium 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0.04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BRm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5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5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Leptodictyum riparium </v>
      </c>
      <c r="M25" s="225"/>
      <c r="N25" s="225"/>
      <c r="O25" s="225"/>
      <c r="P25" s="226" t="s">
        <v>80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1244</v>
      </c>
      <c r="R25" s="211" t="n">
        <f aca="false">IF(ISTEXT(H25),"",(B25*$B$7/100)+(C25*$C$7/100))</f>
        <v>0.04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5</v>
      </c>
      <c r="U25" s="212" t="n">
        <f aca="false">IF(ISERROR(S25*J25*K25),0,S25*J25*K25)</f>
        <v>10</v>
      </c>
      <c r="V25" s="228" t="n">
        <f aca="false">IF(ISERROR(S25*K25),0,S25*K25)</f>
        <v>2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LEORIP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298</v>
      </c>
    </row>
    <row r="26" customFormat="false" ht="12.75" hidden="false" customHeight="false" outlineLevel="0" collapsed="false">
      <c r="A26" s="216" t="s">
        <v>82</v>
      </c>
      <c r="B26" s="217" t="n">
        <v>0.07</v>
      </c>
      <c r="C26" s="218" t="n">
        <v>0.1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Rhynchostegium riparioides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0.076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BRm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5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12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1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Rhynchostegium riparioides</v>
      </c>
      <c r="M26" s="225"/>
      <c r="N26" s="225"/>
      <c r="O26" s="225"/>
      <c r="P26" s="226" t="s">
        <v>80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31691</v>
      </c>
      <c r="R26" s="211" t="n">
        <f aca="false">IF(ISTEXT(H26),"",(B26*$B$7/100)+(C26*$C$7/100))</f>
        <v>0.076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12</v>
      </c>
      <c r="U26" s="212" t="n">
        <f aca="false">IF(ISERROR(S26*J26*K26),0,S26*J26*K26)</f>
        <v>12</v>
      </c>
      <c r="V26" s="228" t="n">
        <f aca="false">IF(ISERROR(S26*K26),0,S26*K26)</f>
        <v>1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RHYRIP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345</v>
      </c>
    </row>
    <row r="27" customFormat="false" ht="12.75" hidden="false" customHeight="false" outlineLevel="0" collapsed="false">
      <c r="A27" s="216"/>
      <c r="B27" s="217"/>
      <c r="C27" s="218"/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/>
      </c>
      <c r="E27" s="220" t="n">
        <f aca="false">IF(D27="",0,VLOOKUP(D27,D$22:D26,1,0))</f>
        <v>0</v>
      </c>
      <c r="F27" s="221" t="str">
        <f aca="false">IF(AND(OR(A27="",A27="!!!!!!"),B27="",C27=""),"",IF(OR(AND(B27="",C27=""),ISERROR(C27+B27)),"!!!",($B27*$B$7+$C27*$C$7)/100))</f>
        <v/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/>
      </c>
      <c r="H27" s="223" t="str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x</v>
      </c>
      <c r="I27" s="8" t="str">
        <f aca="false">IF(A27="","",1)</f>
        <v/>
      </c>
      <c r="J27" s="224" t="str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nu</v>
      </c>
      <c r="K27" s="224" t="str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nu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/>
      </c>
      <c r="M27" s="225"/>
      <c r="N27" s="225"/>
      <c r="O27" s="225"/>
      <c r="P27" s="226" t="s">
        <v>80</v>
      </c>
      <c r="Q27" s="227" t="str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/>
      </c>
      <c r="R27" s="211" t="str">
        <f aca="false">IF(ISTEXT(H27),"",(B27*$B$7/100)+(C27*$C$7/100))</f>
        <v/>
      </c>
      <c r="S27" s="212" t="str">
        <f aca="false">IF(OR(ISTEXT(H27),R27=0),"",IF(R27&lt;0.1,1,IF(R27&lt;1,2,IF(R27&lt;10,3,IF(R27&lt;50,4,IF(R27&gt;=50,5,""))))))</f>
        <v/>
      </c>
      <c r="T27" s="212" t="n">
        <f aca="false">IF(ISERROR(S27*J27),0,S27*J27)</f>
        <v>0</v>
      </c>
      <c r="U27" s="212" t="n">
        <f aca="false">IF(ISERROR(S27*J27*K27),0,S27*J27*K27)</f>
        <v>0</v>
      </c>
      <c r="V27" s="228" t="n">
        <f aca="false">IF(ISERROR(S27*K27),0,S27*K27)</f>
        <v>0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/>
      </c>
      <c r="Z27" s="197" t="str">
        <f aca="false">IF(ISERROR(MATCH(A27,'[1]liste reference'!$A$6:$A$1174,0)),IF(ISERROR(MATCH(A27,'[1]liste reference'!$B$6:$B$1174,0)),"",(MATCH(A27,'[1]liste reference'!$B$6:$B$1174,0))),(MATCH(A27,'[1]liste reference'!$A$6:$A$1174,0)))</f>
        <v/>
      </c>
    </row>
    <row r="28" customFormat="false" ht="12.75" hidden="false" customHeight="false" outlineLevel="0" collapsed="false">
      <c r="A28" s="216"/>
      <c r="B28" s="217"/>
      <c r="C28" s="218"/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/>
      </c>
      <c r="E28" s="220" t="n">
        <f aca="false">IF(D28="",0,VLOOKUP(D28,D$22:D27,1,0))</f>
        <v>0</v>
      </c>
      <c r="F28" s="221" t="str">
        <f aca="false">IF(AND(OR(A28="",A28="!!!!!!"),B28="",C28=""),"",IF(OR(AND(B28="",C28=""),ISERROR(C28+B28)),"!!!",($B28*$B$7+$C28*$C$7)/100))</f>
        <v/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/>
      </c>
      <c r="H28" s="223" t="str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x</v>
      </c>
      <c r="I28" s="8" t="str">
        <f aca="false">IF(A28="","",1)</f>
        <v/>
      </c>
      <c r="J28" s="224" t="str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nu</v>
      </c>
      <c r="K28" s="224" t="str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nu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/>
      </c>
      <c r="M28" s="225"/>
      <c r="N28" s="225"/>
      <c r="O28" s="225"/>
      <c r="P28" s="226" t="s">
        <v>80</v>
      </c>
      <c r="Q28" s="227" t="str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/>
      </c>
      <c r="R28" s="211" t="str">
        <f aca="false">IF(ISTEXT(H28),"",(B28*$B$7/100)+(C28*$C$7/100))</f>
        <v/>
      </c>
      <c r="S28" s="212" t="str">
        <f aca="false">IF(OR(ISTEXT(H28),R28=0),"",IF(R28&lt;0.1,1,IF(R28&lt;1,2,IF(R28&lt;10,3,IF(R28&lt;50,4,IF(R28&gt;=50,5,""))))))</f>
        <v/>
      </c>
      <c r="T28" s="212" t="n">
        <f aca="false">IF(ISERROR(S28*J28),0,S28*J28)</f>
        <v>0</v>
      </c>
      <c r="U28" s="212" t="n">
        <f aca="false">IF(ISERROR(S28*J28*K28),0,S28*J28*K28)</f>
        <v>0</v>
      </c>
      <c r="V28" s="228" t="n">
        <f aca="false">IF(ISERROR(S28*K28),0,S28*K28)</f>
        <v>0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/>
      </c>
      <c r="Z28" s="197" t="str">
        <f aca="false">IF(ISERROR(MATCH(A28,'[1]liste reference'!$A$6:$A$1174,0)),IF(ISERROR(MATCH(A28,'[1]liste reference'!$B$6:$B$1174,0)),"",(MATCH(A28,'[1]liste reference'!$B$6:$B$1174,0))),(MATCH(A28,'[1]liste reference'!$A$6:$A$1174,0)))</f>
        <v/>
      </c>
    </row>
    <row r="29" customFormat="false" ht="12.75" hidden="false" customHeight="false" outlineLevel="0" collapsed="false">
      <c r="A29" s="216"/>
      <c r="B29" s="217"/>
      <c r="C29" s="218"/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/>
      </c>
      <c r="E29" s="220" t="n">
        <f aca="false">IF(D29="",0,VLOOKUP(D29,D$22:D28,1,0))</f>
        <v>0</v>
      </c>
      <c r="F29" s="221" t="str">
        <f aca="false">IF(AND(OR(A29="",A29="!!!!!!"),B29="",C29=""),"",IF(OR(AND(B29="",C29=""),ISERROR(C29+B29)),"!!!",($B29*$B$7+$C29*$C$7)/100))</f>
        <v/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/>
      </c>
      <c r="H29" s="223" t="str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x</v>
      </c>
      <c r="I29" s="8" t="str">
        <f aca="false">IF(A29="","",1)</f>
        <v/>
      </c>
      <c r="J29" s="224" t="str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nu</v>
      </c>
      <c r="K29" s="224" t="str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nu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/>
      </c>
      <c r="M29" s="225"/>
      <c r="N29" s="225"/>
      <c r="O29" s="225"/>
      <c r="P29" s="226" t="s">
        <v>80</v>
      </c>
      <c r="Q29" s="227" t="str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/>
      </c>
      <c r="R29" s="211" t="str">
        <f aca="false">IF(ISTEXT(H29),"",(B29*$B$7/100)+(C29*$C$7/100))</f>
        <v/>
      </c>
      <c r="S29" s="212" t="str">
        <f aca="false">IF(OR(ISTEXT(H29),R29=0),"",IF(R29&lt;0.1,1,IF(R29&lt;1,2,IF(R29&lt;10,3,IF(R29&lt;50,4,IF(R29&gt;=50,5,""))))))</f>
        <v/>
      </c>
      <c r="T29" s="212" t="n">
        <f aca="false">IF(ISERROR(S29*J29),0,S29*J29)</f>
        <v>0</v>
      </c>
      <c r="U29" s="212" t="n">
        <f aca="false">IF(ISERROR(S29*J29*K29),0,S29*J29*K29)</f>
        <v>0</v>
      </c>
      <c r="V29" s="228" t="n">
        <f aca="false">IF(ISERROR(S29*K29),0,S29*K29)</f>
        <v>0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/>
      </c>
      <c r="Z29" s="197" t="str">
        <f aca="false">IF(ISERROR(MATCH(A29,'[1]liste reference'!$A$6:$A$1174,0)),IF(ISERROR(MATCH(A29,'[1]liste reference'!$B$6:$B$1174,0)),"",(MATCH(A29,'[1]liste reference'!$B$6:$B$1174,0))),(MATCH(A29,'[1]liste reference'!$A$6:$A$1174,0)))</f>
        <v/>
      </c>
    </row>
    <row r="30" customFormat="false" ht="12.75" hidden="false" customHeight="false" outlineLevel="0" collapsed="false">
      <c r="A30" s="216"/>
      <c r="B30" s="217"/>
      <c r="C30" s="218"/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/>
      </c>
      <c r="E30" s="220" t="n">
        <f aca="false">IF(D30="",0,VLOOKUP(D30,D$22:D29,1,0))</f>
        <v>0</v>
      </c>
      <c r="F30" s="221" t="str">
        <f aca="false">IF(AND(OR(A30="",A30="!!!!!!"),B30="",C30=""),"",IF(OR(AND(B30="",C30=""),ISERROR(C30+B30)),"!!!",($B30*$B$7+$C30*$C$7)/100))</f>
        <v/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/>
      </c>
      <c r="H30" s="223" t="str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x</v>
      </c>
      <c r="I30" s="8" t="str">
        <f aca="false">IF(A30="","",1)</f>
        <v/>
      </c>
      <c r="J30" s="224" t="str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nu</v>
      </c>
      <c r="K30" s="224" t="str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nu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/>
      </c>
      <c r="M30" s="225"/>
      <c r="N30" s="225"/>
      <c r="O30" s="225"/>
      <c r="P30" s="226" t="s">
        <v>80</v>
      </c>
      <c r="Q30" s="227" t="str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/>
      </c>
      <c r="R30" s="211" t="str">
        <f aca="false">IF(ISTEXT(H30),"",(B30*$B$7/100)+(C30*$C$7/100))</f>
        <v/>
      </c>
      <c r="S30" s="212" t="str">
        <f aca="false">IF(OR(ISTEXT(H30),R30=0),"",IF(R30&lt;0.1,1,IF(R30&lt;1,2,IF(R30&lt;10,3,IF(R30&lt;50,4,IF(R30&gt;=50,5,""))))))</f>
        <v/>
      </c>
      <c r="T30" s="212" t="n">
        <f aca="false">IF(ISERROR(S30*J30),0,S30*J30)</f>
        <v>0</v>
      </c>
      <c r="U30" s="212" t="n">
        <f aca="false">IF(ISERROR(S30*J30*K30),0,S30*J30*K30)</f>
        <v>0</v>
      </c>
      <c r="V30" s="228" t="n">
        <f aca="false">IF(ISERROR(S30*K30),0,S30*K30)</f>
        <v>0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/>
      </c>
      <c r="Z30" s="197" t="str">
        <f aca="false">IF(ISERROR(MATCH(A30,'[1]liste reference'!$A$6:$A$1174,0)),IF(ISERROR(MATCH(A30,'[1]liste reference'!$B$6:$B$1174,0)),"",(MATCH(A30,'[1]liste reference'!$B$6:$B$1174,0))),(MATCH(A30,'[1]liste reference'!$A$6:$A$1174,0)))</f>
        <v/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80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80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80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80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80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80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80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80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80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80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80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80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80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80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80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80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80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80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80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80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80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80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80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80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80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80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80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80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80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80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80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80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80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80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80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80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80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80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80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80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80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80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80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80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80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80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80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80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80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80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80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80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0.152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6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USSES</v>
      </c>
      <c r="B84" s="180" t="str">
        <f aca="false">C3</f>
        <v>USSES  A CRUSEILLES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8.66666666666667</v>
      </c>
      <c r="E84" s="254" t="n">
        <f aca="false">O13</f>
        <v>4</v>
      </c>
      <c r="F84" s="180" t="n">
        <f aca="false">O14</f>
        <v>4</v>
      </c>
      <c r="G84" s="180" t="n">
        <f aca="false">O15</f>
        <v>2</v>
      </c>
      <c r="H84" s="180" t="n">
        <f aca="false">O16</f>
        <v>2</v>
      </c>
      <c r="I84" s="180" t="n">
        <f aca="false">O17</f>
        <v>0</v>
      </c>
      <c r="J84" s="255" t="n">
        <f aca="false">O8</f>
        <v>8.75</v>
      </c>
      <c r="K84" s="256" t="n">
        <f aca="false">O9</f>
        <v>3.26917420765551</v>
      </c>
      <c r="L84" s="257" t="n">
        <f aca="false">O10</f>
        <v>5</v>
      </c>
      <c r="M84" s="257" t="n">
        <f aca="false">O11</f>
        <v>12</v>
      </c>
      <c r="N84" s="256" t="n">
        <f aca="false">P8</f>
        <v>1.5</v>
      </c>
      <c r="O84" s="256" t="n">
        <f aca="false">P9</f>
        <v>0.5</v>
      </c>
      <c r="P84" s="257" t="n">
        <f aca="false">P10</f>
        <v>1</v>
      </c>
      <c r="Q84" s="257" t="n">
        <f aca="false">P11</f>
        <v>2</v>
      </c>
      <c r="R84" s="257" t="n">
        <f aca="false">F21</f>
        <v>0.152</v>
      </c>
      <c r="S84" s="257" t="n">
        <f aca="false">L11</f>
        <v>0</v>
      </c>
      <c r="T84" s="257" t="n">
        <f aca="false">L12</f>
        <v>1</v>
      </c>
      <c r="U84" s="257" t="n">
        <f aca="false">L13</f>
        <v>3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83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84</v>
      </c>
      <c r="S87" s="8"/>
      <c r="T87" s="263" t="n">
        <f aca="false">VLOOKUP($T$91,($A$23:$U$82),20,FALSE())</f>
        <v>12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85</v>
      </c>
      <c r="S88" s="8"/>
      <c r="T88" s="263" t="n">
        <f aca="false">VLOOKUP($T$91,($A$23:$U$82),21,FALSE())</f>
        <v>24</v>
      </c>
      <c r="U88" s="8"/>
      <c r="V88" s="8" t="n">
        <f aca="false">COUNTIF(V23:V82,T89)</f>
        <v>2</v>
      </c>
    </row>
    <row r="89" customFormat="false" ht="12.75" hidden="true" customHeight="false" outlineLevel="0" collapsed="false">
      <c r="C89" s="261"/>
      <c r="D89" s="261"/>
      <c r="E89" s="261"/>
      <c r="R89" s="8" t="s">
        <v>86</v>
      </c>
      <c r="S89" s="8"/>
      <c r="T89" s="263" t="n">
        <f aca="false">MAX($V$23:$V$82)</f>
        <v>2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87</v>
      </c>
      <c r="S90" s="8" t="s">
        <v>10</v>
      </c>
      <c r="T90" s="264" t="n">
        <f aca="false">IF(OR(ISERROR(SUM($U$23:$U$82)/SUM($V$23:$V$82)),F7&lt;&gt;100),-1,(SUM($U$23:$U$82)-T88)/(SUM($V$23:$V$82)-T89))</f>
        <v>7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88</v>
      </c>
      <c r="S91" s="212"/>
      <c r="T91" s="212" t="str">
        <f aca="false">INDEX('[1]liste reference'!$A$6:$A$1174,$U$91)</f>
        <v>FISCRA</v>
      </c>
      <c r="U91" s="8" t="n">
        <f aca="false">IF(ISERROR(MATCH($T$93,'[1]liste reference'!$A$6:$A$1174,0)),MATCH($T$93,'[1]liste reference'!$B$6:$B$1174,0),(MATCH($T$93,'[1]liste reference'!$A$6:$A$1174,0)))</f>
        <v>255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89</v>
      </c>
      <c r="S92" s="8"/>
      <c r="T92" s="8" t="n">
        <f aca="false">MATCH(T89,$V$23:$V$82,0)</f>
        <v>2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90</v>
      </c>
      <c r="S93" s="8"/>
      <c r="T93" s="212" t="str">
        <f aca="false">INDEX($A$23:$A$82,$T$92)</f>
        <v>FISCRA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2015-12-28T16:28:47Z</dcterms:created>
  <dc:creator>Laboratoire hydrobiologie SAGE</dc:creator>
  <dc:description/>
  <dc:language>fr-FR</dc:language>
  <cp:lastModifiedBy>Laboratoire hydrobiologie SAGE</cp:lastModifiedBy>
  <dcterms:modified xsi:type="dcterms:W3CDTF">2015-12-28T16:28:58Z</dcterms:modified>
  <cp:revision>0</cp:revision>
  <dc:subject/>
  <dc:title/>
</cp:coreProperties>
</file>