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<sst xmlns="http://schemas.openxmlformats.org/spreadsheetml/2006/main" count="156" uniqueCount="91">
  <si>
    <t xml:space="preserve">Relevés floristiques aquatiques - IBMR</t>
  </si>
  <si>
    <t xml:space="preserve">modèle Irstea-GIS</t>
  </si>
  <si>
    <t xml:space="preserve">SAGE</t>
  </si>
  <si>
    <t xml:space="preserve">C. BERNARD P. BELLY</t>
  </si>
  <si>
    <t xml:space="preserve">USSES</t>
  </si>
  <si>
    <t xml:space="preserve">USSES A SEYSSEL</t>
  </si>
  <si>
    <t xml:space="preserve">06069050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</si>
  <si>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</si>
  <si>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</si>
  <si>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</si>
  <si>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</si>
  <si>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</si>
  <si>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</si>
  <si>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</si>
  <si>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</si>
  <si>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</si>
  <si>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TRISPX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</si>
  <si>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</si>
  <si>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</si>
  <si>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</si>
  <si>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</si>
  <si>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</si>
  <si>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</si>
  <si>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</si>
  <si>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</si>
  <si>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</si>
  <si>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</si>
  <si>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</si>
  <si>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</si>
  <si>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</si>
  <si>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</si>
  <si>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</si>
  <si>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</si>
  <si>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</si>
  <si>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</si>
  <si>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</si>
  <si>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</si>
  <si>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</si>
  <si>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</si>
  <si>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</si>
  <si>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</si>
  <si>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</si>
  <si>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</si>
  <si>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</si>
  <si>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</si>
  <si>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</si>
  <si>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</si>
  <si>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</si>
  <si>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</si>
  <si>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</si>
  <si>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</si>
  <si>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</si>
  <si>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</si>
  <si>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</si>
  <si>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</si>
  <si>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</si>
  <si>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</si>
  <si>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</si>
  <si>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</si>
  <si>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</si>
  <si>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</si>
  <si>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</si>
  <si>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</si>
  <si>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</si>
  <si>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</si>
  <si>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</si>
  <si>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</si>
  <si>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</si>
  <si>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</si>
  <si>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</si>
  <si>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</si>
  <si>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</si>
  <si>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</si>
  <si>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</si>
  <si>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</si>
  <si>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</si>
  <si>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</si>
  <si>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</si>
  <si>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</si>
  <si>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</si>
  <si>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MELSPX</t>
  </si>
  <si>
    <t xml:space="preserve">STISPX</t>
  </si>
  <si>
    <t xml:space="preserve">VAUSPX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</si>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</sst>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USSE_23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42178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9.16666666666667</v>
      </c>
      <c r="N5" s="51"/>
      <c r="O5" s="52" t="s">
        <v>16</v>
      </c>
      <c r="P5" s="53" t="n">
        <v>8.25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95</v>
      </c>
      <c r="C7" s="69" t="n">
        <v>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8.8</v>
      </c>
      <c r="P8" s="83" t="n">
        <f aca="false">IF(ISERROR(AVERAGE(K23:K82)),"  ",AVERAGE(K23:K82))</f>
        <v>1.4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1.04</v>
      </c>
      <c r="C9" s="86" t="n">
        <v>32.04</v>
      </c>
      <c r="D9" s="87"/>
      <c r="E9" s="87"/>
      <c r="F9" s="88" t="n">
        <f aca="false">($B9*$B$7+$C9*$C$7)/100</f>
        <v>2.59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3.31058907144937</v>
      </c>
      <c r="P9" s="83" t="n">
        <f aca="false">IF(ISERROR(STDEVP(K23:K82)),"  ",STDEVP(K23:K82))</f>
        <v>0.489897948556636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/>
      <c r="C10" s="94"/>
      <c r="D10" s="87"/>
      <c r="E10" s="87"/>
      <c r="F10" s="88"/>
      <c r="G10" s="89"/>
      <c r="H10" s="57"/>
      <c r="I10" s="8"/>
      <c r="J10" s="95"/>
      <c r="K10" s="96" t="s">
        <v>31</v>
      </c>
      <c r="L10" s="97"/>
      <c r="M10" s="98"/>
      <c r="N10" s="82" t="s">
        <v>32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33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34</v>
      </c>
      <c r="K11" s="106"/>
      <c r="L11" s="107" t="n">
        <f aca="false">COUNTIF($G$23:$G$82,"=HET")</f>
        <v>0</v>
      </c>
      <c r="M11" s="108"/>
      <c r="N11" s="82" t="s">
        <v>35</v>
      </c>
      <c r="O11" s="99" t="n">
        <f aca="false">MAX(J23:J82)</f>
        <v>13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36</v>
      </c>
      <c r="B12" s="110" t="n">
        <v>1.04</v>
      </c>
      <c r="C12" s="111" t="n">
        <v>32.04</v>
      </c>
      <c r="D12" s="87"/>
      <c r="E12" s="87"/>
      <c r="F12" s="104" t="n">
        <f aca="false">($B12*$B$7+$C12*$C$7)/100</f>
        <v>2.59</v>
      </c>
      <c r="G12" s="105"/>
      <c r="H12" s="57"/>
      <c r="I12" s="8"/>
      <c r="J12" s="106" t="s">
        <v>37</v>
      </c>
      <c r="K12" s="106"/>
      <c r="L12" s="107" t="n">
        <f aca="false">COUNTIF($G$23:$G$82,"=ALG")</f>
        <v>5</v>
      </c>
      <c r="M12" s="108"/>
      <c r="N12" s="112"/>
      <c r="O12" s="113" t="s">
        <v>31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38</v>
      </c>
      <c r="B13" s="110"/>
      <c r="C13" s="111"/>
      <c r="D13" s="87"/>
      <c r="E13" s="87"/>
      <c r="F13" s="104" t="n">
        <f aca="false">($B13*$B$7+$C13*$C$7)/100</f>
        <v>0</v>
      </c>
      <c r="G13" s="105"/>
      <c r="H13" s="57"/>
      <c r="I13" s="8"/>
      <c r="J13" s="106" t="s">
        <v>39</v>
      </c>
      <c r="K13" s="106"/>
      <c r="L13" s="107" t="n">
        <f aca="false">COUNTIF($G$23:$G$82,"=BRm")+COUNTIF($G$23:$G$82,"=BRh")</f>
        <v>0</v>
      </c>
      <c r="M13" s="108"/>
      <c r="N13" s="116" t="s">
        <v>40</v>
      </c>
      <c r="O13" s="117" t="n">
        <f aca="false">COUNTIF(F23:F82,"&gt;0")</f>
        <v>5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41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42</v>
      </c>
      <c r="K14" s="106"/>
      <c r="L14" s="107" t="n">
        <f aca="false">COUNTIF($G$23:$G$82,"=PTE")+COUNTIF($G$23:$G$82,"=LIC")</f>
        <v>0</v>
      </c>
      <c r="M14" s="108"/>
      <c r="N14" s="119" t="s">
        <v>43</v>
      </c>
      <c r="O14" s="120" t="n">
        <f aca="false">COUNTIF($J$23:$J$82,"&gt;-1")</f>
        <v>5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44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45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46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47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48</v>
      </c>
      <c r="O16" s="117" t="n">
        <f aca="false">COUNTIF(K23:K82,"=2")</f>
        <v>2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49</v>
      </c>
      <c r="B17" s="110" t="n">
        <v>1.04</v>
      </c>
      <c r="C17" s="111" t="n">
        <v>32.04</v>
      </c>
      <c r="D17" s="87"/>
      <c r="E17" s="87"/>
      <c r="F17" s="129"/>
      <c r="G17" s="130" t="n">
        <f aca="false">($B17*$B$7+$C17*$C$7)/100</f>
        <v>2.59</v>
      </c>
      <c r="H17" s="57"/>
      <c r="I17" s="8"/>
      <c r="J17" s="131"/>
      <c r="K17" s="132"/>
      <c r="L17" s="133" t="s">
        <v>50</v>
      </c>
      <c r="M17" s="134" t="n">
        <f aca="false">IF(ISERROR((O13-(COUNTIF(J23:J82,"nc")))/O13),"-",(O13-(COUNTIF(J23:J82,"nc")))/O13)</f>
        <v>1</v>
      </c>
      <c r="N17" s="116" t="s">
        <v>51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52</v>
      </c>
      <c r="B18" s="137"/>
      <c r="C18" s="138"/>
      <c r="D18" s="87"/>
      <c r="E18" s="139" t="s">
        <v>53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2.59</v>
      </c>
      <c r="G19" s="150" t="n">
        <f aca="false">SUM(G16:G18)</f>
        <v>2.59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54</v>
      </c>
      <c r="B20" s="159" t="n">
        <f aca="false">SUM(B23:B62)</f>
        <v>1.04</v>
      </c>
      <c r="C20" s="160" t="n">
        <f aca="false">SUM(C23:C62)</f>
        <v>32.04</v>
      </c>
      <c r="D20" s="161"/>
      <c r="E20" s="162" t="s">
        <v>53</v>
      </c>
      <c r="F20" s="163" t="n">
        <f aca="false">($B20*$B$7+$C20*$C$7)/100</f>
        <v>2.59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55</v>
      </c>
      <c r="B21" s="171" t="n">
        <f aca="false">B20*B7/100</f>
        <v>0.988</v>
      </c>
      <c r="C21" s="171" t="n">
        <f aca="false">C20*C7/100</f>
        <v>1.602</v>
      </c>
      <c r="D21" s="172" t="s">
        <v>56</v>
      </c>
      <c r="E21" s="173"/>
      <c r="F21" s="174" t="n">
        <f aca="false">B21+C21</f>
        <v>2.59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57</v>
      </c>
    </row>
    <row r="22" customFormat="false" ht="12.75" hidden="false" customHeight="false" outlineLevel="0" collapsed="false">
      <c r="A22" s="183" t="s">
        <v>58</v>
      </c>
      <c r="B22" s="184" t="s">
        <v>59</v>
      </c>
      <c r="C22" s="184" t="s">
        <v>59</v>
      </c>
      <c r="D22" s="185"/>
      <c r="E22" s="186"/>
      <c r="F22" s="187" t="s">
        <v>60</v>
      </c>
      <c r="G22" s="188" t="s">
        <v>61</v>
      </c>
      <c r="H22" s="87" t="s">
        <v>62</v>
      </c>
      <c r="I22" s="8" t="s">
        <v>63</v>
      </c>
      <c r="J22" s="189" t="s">
        <v>64</v>
      </c>
      <c r="K22" s="189" t="s">
        <v>65</v>
      </c>
      <c r="L22" s="190" t="s">
        <v>66</v>
      </c>
      <c r="M22" s="190"/>
      <c r="N22" s="190"/>
      <c r="O22" s="190"/>
      <c r="P22" s="182" t="s">
        <v>67</v>
      </c>
      <c r="Q22" s="191" t="s">
        <v>68</v>
      </c>
      <c r="R22" s="192" t="s">
        <v>69</v>
      </c>
      <c r="S22" s="193" t="s">
        <v>70</v>
      </c>
      <c r="T22" s="194" t="s">
        <v>71</v>
      </c>
      <c r="U22" s="194" t="s">
        <v>72</v>
      </c>
      <c r="V22" s="195" t="s">
        <v>73</v>
      </c>
      <c r="W22" s="196" t="s">
        <v>74</v>
      </c>
      <c r="X22" s="196" t="s">
        <v>75</v>
      </c>
      <c r="Y22" s="197" t="s">
        <v>76</v>
      </c>
      <c r="Z22" s="197" t="s">
        <v>77</v>
      </c>
    </row>
    <row r="23" customFormat="false" ht="12.75" hidden="false" customHeight="false" outlineLevel="0" collapsed="false">
      <c r="A23" s="198" t="s">
        <v>78</v>
      </c>
      <c r="B23" s="199" t="n">
        <v>0.01</v>
      </c>
      <c r="C23" s="200" t="n">
        <v>18.01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0.91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0.91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12</v>
      </c>
      <c r="U23" s="212" t="n">
        <f aca="false">IF(ISERROR(S23*J23*K23),0,S23*J23*K23)</f>
        <v>12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80</v>
      </c>
      <c r="B24" s="217" t="n">
        <v>0.1</v>
      </c>
      <c r="C24" s="218" t="n">
        <v>1.11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Melosira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0.1505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10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1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Melosira sp.</v>
      </c>
      <c r="M24" s="225"/>
      <c r="N24" s="225"/>
      <c r="O24" s="225"/>
      <c r="P24" s="226" t="s">
        <v>79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8714</v>
      </c>
      <c r="R24" s="211" t="n">
        <f aca="false">IF(ISTEXT(H24),"",(B24*$B$7/100)+(C24*$C$7/100))</f>
        <v>0.1505</v>
      </c>
      <c r="S24" s="212" t="n">
        <f aca="false">IF(OR(ISTEXT(H24),R24=0),"",IF(R24&lt;0.1,1,IF(R24&lt;1,2,IF(R24&lt;10,3,IF(R24&lt;50,4,IF(R24&gt;=50,5,""))))))</f>
        <v>2</v>
      </c>
      <c r="T24" s="212" t="n">
        <f aca="false">IF(ISERROR(S24*J24),0,S24*J24)</f>
        <v>20</v>
      </c>
      <c r="U24" s="212" t="n">
        <f aca="false">IF(ISERROR(S24*J24*K24),0,S24*J24*K24)</f>
        <v>20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MELSPX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62</v>
      </c>
    </row>
    <row r="25" customFormat="false" ht="12.75" hidden="false" customHeight="false" outlineLevel="0" collapsed="false">
      <c r="A25" s="216" t="s">
        <v>81</v>
      </c>
      <c r="B25" s="217" t="n">
        <v>0.01</v>
      </c>
      <c r="C25" s="218" t="n">
        <v>0.01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Stigeoclonium sp. (excep. S. tenue)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0.01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13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Stigeoclonium sp. (excep. S. tenue)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1119</v>
      </c>
      <c r="R25" s="211" t="n">
        <f aca="false">IF(ISTEXT(H25),"",(B25*$B$7/100)+(C25*$C$7/100))</f>
        <v>0.01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13</v>
      </c>
      <c r="U25" s="212" t="n">
        <f aca="false">IF(ISERROR(S25*J25*K25),0,S25*J25*K25)</f>
        <v>26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STISPX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104</v>
      </c>
    </row>
    <row r="26" customFormat="false" ht="12.75" hidden="false" customHeight="false" outlineLevel="0" collapsed="false">
      <c r="A26" s="216" t="s">
        <v>16</v>
      </c>
      <c r="B26" s="217" t="n">
        <v>0.9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Tribonema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0.855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11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Tribonema sp.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1167</v>
      </c>
      <c r="R26" s="211" t="n">
        <f aca="false">IF(ISTEXT(H26),"",(B26*$B$7/100)+(C26*$C$7/100))</f>
        <v>0.855</v>
      </c>
      <c r="S26" s="212" t="n">
        <f aca="false">IF(OR(ISTEXT(H26),R26=0),"",IF(R26&lt;0.1,1,IF(R26&lt;1,2,IF(R26&lt;10,3,IF(R26&lt;50,4,IF(R26&gt;=50,5,""))))))</f>
        <v>2</v>
      </c>
      <c r="T26" s="212" t="n">
        <f aca="false">IF(ISERROR(S26*J26),0,S26*J26)</f>
        <v>22</v>
      </c>
      <c r="U26" s="212" t="n">
        <f aca="false">IF(ISERROR(S26*J26*K26),0,S26*J26*K26)</f>
        <v>44</v>
      </c>
      <c r="V26" s="228" t="n">
        <f aca="false">IF(ISERROR(S26*K26),0,S26*K26)</f>
        <v>4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TRISPX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115</v>
      </c>
    </row>
    <row r="27" customFormat="false" ht="12.75" hidden="false" customHeight="false" outlineLevel="0" collapsed="false">
      <c r="A27" s="216" t="s">
        <v>82</v>
      </c>
      <c r="B27" s="217" t="n">
        <v>0.02</v>
      </c>
      <c r="C27" s="218" t="n">
        <v>12.91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Vaucheria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0.6645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4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Vaucheria sp.</v>
      </c>
      <c r="M27" s="225"/>
      <c r="N27" s="225"/>
      <c r="O27" s="225"/>
      <c r="P27" s="226" t="s">
        <v>79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1169</v>
      </c>
      <c r="R27" s="211" t="n">
        <f aca="false">IF(ISTEXT(H27),"",(B27*$B$7/100)+(C27*$C$7/100))</f>
        <v>0.6645</v>
      </c>
      <c r="S27" s="212" t="n">
        <f aca="false">IF(OR(ISTEXT(H27),R27=0),"",IF(R27&lt;0.1,1,IF(R27&lt;1,2,IF(R27&lt;10,3,IF(R27&lt;50,4,IF(R27&gt;=50,5,""))))))</f>
        <v>2</v>
      </c>
      <c r="T27" s="212" t="n">
        <f aca="false">IF(ISERROR(S27*J27),0,S27*J27)</f>
        <v>8</v>
      </c>
      <c r="U27" s="212" t="n">
        <f aca="false">IF(ISERROR(S27*J27*K27),0,S27*J27*K27)</f>
        <v>8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VAUSPX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118</v>
      </c>
    </row>
    <row r="28" customFormat="false" ht="12.75" hidden="false" customHeight="false" outlineLevel="0" collapsed="false">
      <c r="A28" s="216"/>
      <c r="B28" s="217"/>
      <c r="C28" s="218"/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/>
      </c>
      <c r="E28" s="220" t="n">
        <f aca="false">IF(D28="",0,VLOOKUP(D28,D$22:D27,1,0))</f>
        <v>0</v>
      </c>
      <c r="F28" s="221" t="str">
        <f aca="false">IF(AND(OR(A28="",A28="!!!!!!"),B28="",C28=""),"",IF(OR(AND(B28="",C28=""),ISERROR(C28+B28)),"!!!",($B28*$B$7+$C28*$C$7)/100))</f>
        <v/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/>
      </c>
      <c r="H28" s="223" t="str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x</v>
      </c>
      <c r="I28" s="8" t="str">
        <f aca="false">IF(A28="","",1)</f>
        <v/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nu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nu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/>
      </c>
      <c r="M28" s="225"/>
      <c r="N28" s="225"/>
      <c r="O28" s="225"/>
      <c r="P28" s="226" t="s">
        <v>79</v>
      </c>
      <c r="Q28" s="227" t="str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/>
      </c>
      <c r="R28" s="211" t="str">
        <f aca="false">IF(ISTEXT(H28),"",(B28*$B$7/100)+(C28*$C$7/100))</f>
        <v/>
      </c>
      <c r="S28" s="212" t="str">
        <f aca="false">IF(OR(ISTEXT(H28),R28=0),"",IF(R28&lt;0.1,1,IF(R28&lt;1,2,IF(R28&lt;10,3,IF(R28&lt;50,4,IF(R28&gt;=50,5,""))))))</f>
        <v/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/>
      </c>
      <c r="Z28" s="197" t="str">
        <f aca="false">IF(ISERROR(MATCH(A28,'[1]liste reference'!$A$6:$A$1174,0)),IF(ISERROR(MATCH(A28,'[1]liste reference'!$B$6:$B$1174,0)),"",(MATCH(A28,'[1]liste reference'!$B$6:$B$1174,0))),(MATCH(A28,'[1]liste reference'!$A$6:$A$1174,0)))</f>
        <v/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79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79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79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79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79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79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79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79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79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79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79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79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79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2.59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12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USSES</v>
      </c>
      <c r="B84" s="180" t="str">
        <f aca="false">C3</f>
        <v>USSES A SEYSSEL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9.16666666666667</v>
      </c>
      <c r="E84" s="254" t="n">
        <f aca="false">O13</f>
        <v>5</v>
      </c>
      <c r="F84" s="180" t="n">
        <f aca="false">O14</f>
        <v>5</v>
      </c>
      <c r="G84" s="180" t="n">
        <f aca="false">O15</f>
        <v>3</v>
      </c>
      <c r="H84" s="180" t="n">
        <f aca="false">O16</f>
        <v>2</v>
      </c>
      <c r="I84" s="180" t="n">
        <f aca="false">O17</f>
        <v>0</v>
      </c>
      <c r="J84" s="255" t="n">
        <f aca="false">O8</f>
        <v>8.8</v>
      </c>
      <c r="K84" s="256" t="n">
        <f aca="false">O9</f>
        <v>3.31058907144937</v>
      </c>
      <c r="L84" s="257" t="n">
        <f aca="false">O10</f>
        <v>4</v>
      </c>
      <c r="M84" s="257" t="n">
        <f aca="false">O11</f>
        <v>13</v>
      </c>
      <c r="N84" s="256" t="n">
        <f aca="false">P8</f>
        <v>1.4</v>
      </c>
      <c r="O84" s="256" t="n">
        <f aca="false">P9</f>
        <v>0.489897948556636</v>
      </c>
      <c r="P84" s="257" t="n">
        <f aca="false">P10</f>
        <v>1</v>
      </c>
      <c r="Q84" s="257" t="n">
        <f aca="false">P11</f>
        <v>2</v>
      </c>
      <c r="R84" s="257" t="n">
        <f aca="false">F21</f>
        <v>2.59</v>
      </c>
      <c r="S84" s="257" t="n">
        <f aca="false">L11</f>
        <v>0</v>
      </c>
      <c r="T84" s="257" t="n">
        <f aca="false">L12</f>
        <v>5</v>
      </c>
      <c r="U84" s="257" t="n">
        <f aca="false">L13</f>
        <v>0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83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84</v>
      </c>
      <c r="S87" s="8"/>
      <c r="T87" s="263" t="n">
        <f aca="false">VLOOKUP($T$91,($A$23:$U$82),20,FALSE())</f>
        <v>22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85</v>
      </c>
      <c r="S88" s="8"/>
      <c r="T88" s="263" t="n">
        <f aca="false">VLOOKUP($T$91,($A$23:$U$82),21,FALSE())</f>
        <v>44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86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87</v>
      </c>
      <c r="S90" s="8" t="s">
        <v>10</v>
      </c>
      <c r="T90" s="264" t="n">
        <f aca="false">IF(OR(ISERROR(SUM($U$23:$U$82)/SUM($V$23:$V$82)),F7&lt;&gt;100),-1,(SUM($U$23:$U$82)-T88)/(SUM($V$23:$V$82)-T89))</f>
        <v>8.25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88</v>
      </c>
      <c r="S91" s="212"/>
      <c r="T91" s="212" t="str">
        <f aca="false">INDEX('[1]liste reference'!$A$6:$A$1174,$U$91)</f>
        <v>TRISPX</v>
      </c>
      <c r="U91" s="8" t="n">
        <f aca="false">IF(ISERROR(MATCH($T$93,'[1]liste reference'!$A$6:$A$1174,0)),MATCH($T$93,'[1]liste reference'!$B$6:$B$1174,0),(MATCH($T$93,'[1]liste reference'!$A$6:$A$1174,0)))</f>
        <v>115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89</v>
      </c>
      <c r="S92" s="8"/>
      <c r="T92" s="8" t="n">
        <f aca="false">MATCH(T89,$V$23:$V$82,0)</f>
        <v>4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90</v>
      </c>
      <c r="S93" s="8"/>
      <c r="T93" s="212" t="str">
        <f aca="false">INDEX($A$23:$A$82,$T$92)</f>
        <v>TRISPX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2016-04-05T10:15:11Z</dcterms:created>
  <dc:creator>laurianne isebe</dc:creator>
  <dc:description/>
  <dc:language>fr-FR</dc:language>
  <cp:lastModifiedBy>laurianne isebe</cp:lastModifiedBy>
  <dcterms:modified xsi:type="dcterms:W3CDTF">2016-04-05T10:15:14Z</dcterms:modified>
  <cp:revision>0</cp:revision>
  <dc:subject/>
  <dc:title/>
</cp:coreProperties>
</file>