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<sst xmlns="http://schemas.openxmlformats.org/spreadsheetml/2006/main" count="96" uniqueCount="92">
  <si>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</si>
  <si>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</si>
  <si>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</si>
  <si>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M.SCHNEIDER</t>
  </si>
  <si>
    <t xml:space="preserve">conforme AFNOR T90-395 oct. 2003</t>
  </si>
  <si>
    <t xml:space="preserve">Mandorne</t>
  </si>
  <si>
    <t xml:space="preserve">Mandorne à Oncieu</t>
  </si>
  <si>
    <t xml:space="preserve">06069650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</si>
  <si>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</si>
  <si>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</si>
  <si>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</si>
  <si>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</si>
  <si>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</si>
  <si>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</si>
  <si>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</si>
  <si>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</si>
  <si>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</si>
  <si>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</si>
  <si>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</si>
  <si>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</si>
  <si>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</si>
  <si>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</si>
  <si>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</si>
  <si>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</si>
  <si>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</si>
  <si>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</si>
  <si>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</si>
  <si>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</si>
  <si>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</si>
  <si>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</si>
  <si>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</si>
  <si>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</si>
  <si>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</si>
  <si>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</si>
  <si>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</si>
  <si>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</si>
  <si>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</si>
  <si>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</si>
  <si>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</si>
  <si>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</si>
  <si>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</si>
  <si>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</si>
  <si>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</si>
  <si>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</si>
  <si>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</si>
  <si>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</si>
  <si>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</si>
  <si>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</si>
  <si>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</si>
  <si>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</si>
  <si>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</si>
  <si>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</si>
  <si>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</si>
  <si>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</si>
  <si>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</si>
  <si>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</si>
  <si>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</si>
  <si>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</si>
  <si>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</si>
  <si>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</si>
  <si>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</si>
  <si>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</si>
  <si>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</si>
  <si>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</si>
  <si>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</si>
  <si>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</si>
  <si>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</si>
  <si>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</si>
  <si>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</si>
  <si>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</si>
  <si>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</si>
  <si>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</si>
  <si>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</si>
  <si>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</si>
  <si>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</si>
  <si>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</si>
  <si>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</si>
  <si>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</si>
  <si>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PHOSPX</t>
  </si>
  <si>
    <t xml:space="preserve">VAUSPX</t>
  </si>
  <si>
    <t xml:space="preserve">ANEPIN</t>
  </si>
  <si>
    <t xml:space="preserve">AMBTEN</t>
  </si>
  <si>
    <t xml:space="preserve">FISCRA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</si>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</sst>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MANDO_19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11.8333333333333</v>
      </c>
      <c r="M5" s="53"/>
      <c r="N5" s="54" t="s">
        <v>16</v>
      </c>
      <c r="O5" s="55" t="n">
        <v>11.8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10.8571428571429</v>
      </c>
      <c r="O8" s="84" t="n">
        <f aca="false">IF(ISERROR(AVERAGE(J23:J82)),"      -",AVERAGE(J23:J82))</f>
        <v>1.57142857142857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0.45</v>
      </c>
      <c r="C9" s="87" t="n">
        <v>0</v>
      </c>
      <c r="D9" s="88"/>
      <c r="E9" s="88"/>
      <c r="F9" s="89" t="n">
        <f aca="false">($B9*$B$7+$C9*$C$7)/100</f>
        <v>0.405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3.8703477668983</v>
      </c>
      <c r="O9" s="84" t="n">
        <f aca="false">IF(ISERROR(STDEVP(J23:J82)),"      -",STDEVP(J23:J82))</f>
        <v>0.494871659305394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0.02</v>
      </c>
      <c r="C12" s="119"/>
      <c r="D12" s="111"/>
      <c r="E12" s="111"/>
      <c r="F12" s="112" t="n">
        <f aca="false">($B12*$B$7+$C12*$C$7)/100</f>
        <v>0.018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0.43</v>
      </c>
      <c r="C13" s="119"/>
      <c r="D13" s="111"/>
      <c r="E13" s="111"/>
      <c r="F13" s="112" t="n">
        <f aca="false">($B13*$B$7+$C13*$C$7)/100</f>
        <v>0.387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0.45</v>
      </c>
      <c r="C17" s="119"/>
      <c r="D17" s="111"/>
      <c r="E17" s="111"/>
      <c r="F17" s="143"/>
      <c r="G17" s="112" t="n">
        <f aca="false">($B17*$B$7+$C17*$C$7)/100</f>
        <v>0.405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0.405</v>
      </c>
      <c r="G19" s="156" t="n">
        <f aca="false">SUM(G16:G18)</f>
        <v>0.405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0.45</v>
      </c>
      <c r="C20" s="166" t="n">
        <f aca="false">SUM(C23:C82)</f>
        <v>0</v>
      </c>
      <c r="D20" s="167"/>
      <c r="E20" s="168" t="s">
        <v>53</v>
      </c>
      <c r="F20" s="169" t="n">
        <f aca="false">($B20*$B$7+$C20*$C$7)/100</f>
        <v>0.405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0.405</v>
      </c>
      <c r="C21" s="179" t="n">
        <f aca="false">C20*C7/100</f>
        <v>0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0.405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0.001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0.0009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0.0009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0.01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Phormidium sp.</v>
      </c>
      <c r="E24" s="226" t="e">
        <f aca="false">IF(D24="",0,VLOOKUP(D24,D$22:D23,1,0))</f>
        <v>#N/A</v>
      </c>
      <c r="F24" s="227" t="n">
        <f aca="false">($B24*$B$7+$C24*$C$7)/100</f>
        <v>0.009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13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Phormidium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6414</v>
      </c>
      <c r="Q24" s="216" t="n">
        <f aca="false">IF(ISTEXT(H24),"",(B24*$B$7/100)+(C24*$C$7/100))</f>
        <v>0.009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13</v>
      </c>
      <c r="T24" s="217" t="n">
        <f aca="false">IF(ISERROR(R24*I24*J24),0,R24*I24*J24)</f>
        <v>26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PHOSPX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57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0.009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0.0081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0.0081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4</v>
      </c>
      <c r="T25" s="217" t="n">
        <f aca="false">IF(ISERROR(R25*I25*J25),0,R25*I25*J25)</f>
        <v>4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0.02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Aneura pinguis</v>
      </c>
      <c r="E26" s="226" t="e">
        <f aca="false">IF(D26="",0,VLOOKUP(D26,D$22:D25,1,0))</f>
        <v>#N/A</v>
      </c>
      <c r="F26" s="227" t="n">
        <f aca="false">($B26*$B$7+$C26*$C$7)/100</f>
        <v>0.018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BRh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4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14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Aneura pinguis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10206</v>
      </c>
      <c r="Q26" s="216" t="n">
        <f aca="false">IF(ISTEXT(H26),"",(B26*$B$7/100)+(C26*$C$7/100))</f>
        <v>0.018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14</v>
      </c>
      <c r="T26" s="217" t="n">
        <f aca="false">IF(ISERROR(R26*I26*J26),0,R26*I26*J26)</f>
        <v>28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ANEPIN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91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Amblystegium tenax</v>
      </c>
      <c r="E27" s="226" t="e">
        <f aca="false">IF(D27="",0,VLOOKUP(D27,D$22:D26,1,0))</f>
        <v>#N/A</v>
      </c>
      <c r="F27" s="227" t="n">
        <f aca="false">($B27*$B$7+$C27*$C$7)/100</f>
        <v>0.09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15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Amblystegium tenax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10210</v>
      </c>
      <c r="Q27" s="216" t="n">
        <f aca="false">IF(ISTEXT(H27),"",(B27*$B$7/100)+(C27*$C$7/100))</f>
        <v>0.09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15</v>
      </c>
      <c r="T27" s="217" t="n">
        <f aca="false">IF(ISERROR(R27*I27*J27),0,R27*I27*J27)</f>
        <v>30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AMBTEN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150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0.01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Fissidens crassipes</v>
      </c>
      <c r="E28" s="226" t="e">
        <f aca="false">IF(D28="",0,VLOOKUP(D28,D$22:D27,1,0))</f>
        <v>#N/A</v>
      </c>
      <c r="F28" s="227" t="n">
        <f aca="false">($B28*$B$7+$C28*$C$7)/100</f>
        <v>0.009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12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Fissidens crassipes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1294</v>
      </c>
      <c r="Q28" s="216" t="n">
        <f aca="false">IF(ISTEXT(H28),"",(B28*$B$7/100)+(C28*$C$7/100))</f>
        <v>0.009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24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FISCRA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197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0.3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Rhynchostegium riparioides</v>
      </c>
      <c r="E29" s="226" t="e">
        <f aca="false">IF(D29="",0,VLOOKUP(D29,D$22:D28,1,0))</f>
        <v>#N/A</v>
      </c>
      <c r="F29" s="227" t="n">
        <f aca="false">($B29*$B$7+$C29*$C$7)/100</f>
        <v>0.27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12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Rhynchostegium riparioides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1268</v>
      </c>
      <c r="Q29" s="216" t="n">
        <f aca="false">IF(ISTEXT(H29),"",(B29*$B$7/100)+(C29*$C$7/100))</f>
        <v>0.27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24</v>
      </c>
      <c r="T29" s="217" t="n">
        <f aca="false">IF(ISERROR(R29*I29*J29),0,R29*I29*J29)</f>
        <v>24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RHYRIP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252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Mandorne</v>
      </c>
      <c r="B84" s="259" t="str">
        <f aca="false">C3</f>
        <v>Mandorne à Oncieu</v>
      </c>
      <c r="C84" s="260" t="n">
        <f aca="false">A4</f>
        <v>41809</v>
      </c>
      <c r="D84" s="261" t="n">
        <f aca="false">IF(ISERROR(SUM($T$23:$T$82)/SUM($U$23:$U$82)),"",SUM($T$23:$T$82)/SUM($U$23:$U$82))</f>
        <v>11.8333333333333</v>
      </c>
      <c r="E84" s="262" t="n">
        <f aca="false">N13</f>
        <v>7</v>
      </c>
      <c r="F84" s="259" t="n">
        <f aca="false">N14</f>
        <v>7</v>
      </c>
      <c r="G84" s="259" t="n">
        <f aca="false">N15</f>
        <v>3</v>
      </c>
      <c r="H84" s="259" t="n">
        <f aca="false">N16</f>
        <v>4</v>
      </c>
      <c r="I84" s="259" t="n">
        <f aca="false">N17</f>
        <v>0</v>
      </c>
      <c r="J84" s="263" t="n">
        <f aca="false">N8</f>
        <v>10.8571428571429</v>
      </c>
      <c r="K84" s="261" t="n">
        <f aca="false">N9</f>
        <v>3.8703477668983</v>
      </c>
      <c r="L84" s="262" t="n">
        <f aca="false">N10</f>
        <v>4</v>
      </c>
      <c r="M84" s="262" t="n">
        <f aca="false">N11</f>
        <v>15</v>
      </c>
      <c r="N84" s="261" t="n">
        <f aca="false">O8</f>
        <v>1.57142857142857</v>
      </c>
      <c r="O84" s="261" t="n">
        <f aca="false">O9</f>
        <v>0.494871659305394</v>
      </c>
      <c r="P84" s="262" t="n">
        <f aca="false">O10</f>
        <v>1</v>
      </c>
      <c r="Q84" s="262" t="n">
        <f aca="false">O11</f>
        <v>2</v>
      </c>
      <c r="R84" s="262" t="n">
        <f aca="false">F21</f>
        <v>0.405</v>
      </c>
      <c r="S84" s="262" t="n">
        <f aca="false">K11</f>
        <v>0</v>
      </c>
      <c r="T84" s="262" t="n">
        <f aca="false">K12</f>
        <v>3</v>
      </c>
      <c r="U84" s="262" t="n">
        <f aca="false">K13</f>
        <v>4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84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85</v>
      </c>
      <c r="R87" s="10"/>
      <c r="S87" s="218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86</v>
      </c>
      <c r="R88" s="10"/>
      <c r="S88" s="218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87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88</v>
      </c>
      <c r="R90" s="10"/>
      <c r="S90" s="268" t="n">
        <f aca="false">IF(ISERROR(SUM($T$23:$T$82)/SUM($U$23:$U$82)),"",(SUM($T$23:$T$82)-S88)/(SUM($U$23:$U$82)-S89))</f>
        <v>11.8</v>
      </c>
      <c r="T90" s="10"/>
    </row>
    <row r="91" customFormat="false" ht="12.75" hidden="false" customHeight="false" outlineLevel="0" collapsed="false">
      <c r="Q91" s="217" t="s">
        <v>89</v>
      </c>
      <c r="R91" s="217"/>
      <c r="S91" s="217" t="str">
        <f aca="false">INDEX('[2]liste reference'!$A$8:$A$904,$T$91)</f>
        <v>RHYRIP</v>
      </c>
      <c r="T91" s="10" t="n">
        <f aca="false">IF(ISERROR(MATCH($S$93,'[2]liste reference'!$A$8:$A$904,0)),MATCH($S$93,'[2]liste reference'!$B$8:$B$904,0),(MATCH($S$93,'[2]liste reference'!$A$8:$A$904,0)))</f>
        <v>252</v>
      </c>
      <c r="U91" s="257"/>
    </row>
    <row r="92" customFormat="false" ht="12.75" hidden="false" customHeight="false" outlineLevel="0" collapsed="false">
      <c r="Q92" s="10" t="s">
        <v>90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91</v>
      </c>
      <c r="R93" s="10"/>
      <c r="S93" s="217" t="str">
        <f aca="false">INDEX($A$23:$A$82,$S$92)</f>
        <v>RHYRIP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2014-12-19T16:21:11Z</dcterms:created>
  <dc:creator>Laurent Bourgoin</dc:creator>
  <dc:description/>
  <dc:language>fr-FR</dc:language>
  <cp:lastModifiedBy>Laurent Bourgoin</cp:lastModifiedBy>
  <dcterms:modified xsi:type="dcterms:W3CDTF">2014-12-19T16:21:16Z</dcterms:modified>
  <cp:revision>0</cp:revision>
  <dc:subject/>
  <dc:title/>
</cp:coreProperties>
</file>