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<sst xmlns="http://schemas.openxmlformats.org/spreadsheetml/2006/main" count="167" uniqueCount="101">
  <si>
    <t xml:space="preserve">Relevés floristiques aquatiques - IBMR</t>
  </si>
  <si>
    <t xml:space="preserve">modèle Irstea-GIS</t>
  </si>
  <si>
    <t xml:space="preserve">SAGE</t>
  </si>
  <si>
    <t xml:space="preserve">C. BERNARD P. BELLY</t>
  </si>
  <si>
    <t xml:space="preserve">FIER</t>
  </si>
  <si>
    <t xml:space="preserve">FIER A POISY</t>
  </si>
  <si>
    <t xml:space="preserve">06070100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</si>
  <si>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</si>
  <si>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</si>
  <si>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</si>
  <si>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</si>
  <si>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</si>
  <si>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</si>
  <si>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</si>
  <si>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</si>
  <si>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</si>
  <si>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</si>
  <si>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</si>
  <si>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</si>
  <si>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</si>
  <si>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</si>
  <si>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</si>
  <si>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</si>
  <si>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</si>
  <si>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</si>
  <si>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</si>
  <si>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</si>
  <si>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</si>
  <si>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</si>
  <si>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</si>
  <si>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</si>
  <si>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</si>
  <si>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</si>
  <si>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</si>
  <si>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</si>
  <si>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</si>
  <si>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</si>
  <si>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</si>
  <si>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</si>
  <si>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</si>
  <si>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</si>
  <si>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</si>
  <si>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</si>
  <si>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</si>
  <si>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</si>
  <si>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</si>
  <si>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</si>
  <si>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</si>
  <si>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</si>
  <si>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</si>
  <si>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</si>
  <si>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</si>
  <si>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</si>
  <si>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</si>
  <si>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</si>
  <si>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</si>
  <si>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</si>
  <si>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</si>
  <si>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</si>
  <si>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</si>
  <si>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</si>
  <si>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</si>
  <si>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</si>
  <si>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</si>
  <si>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</si>
  <si>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</si>
  <si>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</si>
  <si>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</si>
  <si>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</si>
  <si>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</si>
  <si>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</si>
  <si>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</si>
  <si>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</si>
  <si>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</si>
  <si>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</si>
  <si>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</si>
  <si>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</si>
  <si>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</si>
  <si>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</si>
  <si>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</si>
  <si>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</si>
  <si>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OEDSPX</t>
  </si>
  <si>
    <t xml:space="preserve">TETSPX</t>
  </si>
  <si>
    <t xml:space="preserve">VAUSPX</t>
  </si>
  <si>
    <t xml:space="preserve">CINRIP</t>
  </si>
  <si>
    <t xml:space="preserve">FISCRA</t>
  </si>
  <si>
    <t xml:space="preserve">HYAFLU</t>
  </si>
  <si>
    <t xml:space="preserve">HYATEN</t>
  </si>
  <si>
    <t xml:space="preserve">HYGLUR</t>
  </si>
  <si>
    <t xml:space="preserve">LEORIP</t>
  </si>
  <si>
    <t xml:space="preserve">RHYRIP</t>
  </si>
  <si>
    <t xml:space="preserve">EQUFLU</t>
  </si>
  <si>
    <t xml:space="preserve">PHAARU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</si>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</sst>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FIEPOI_2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42184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11.7666666666667</v>
      </c>
      <c r="N5" s="51"/>
      <c r="O5" s="52" t="s">
        <v>16</v>
      </c>
      <c r="P5" s="53" t="n">
        <v>11.2692307692308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10.8571428571429</v>
      </c>
      <c r="P8" s="83" t="n">
        <f aca="false">IF(ISERROR(AVERAGE(K23:K82)),"  ",AVERAGE(K23:K82))</f>
        <v>1.71428571428571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1.21</v>
      </c>
      <c r="C9" s="86" t="n">
        <v>0.33</v>
      </c>
      <c r="D9" s="87"/>
      <c r="E9" s="87"/>
      <c r="F9" s="88" t="n">
        <f aca="false">($B9*$B$7+$C9*$C$7)/100</f>
        <v>1.166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4.13792810227435</v>
      </c>
      <c r="P9" s="83" t="n">
        <f aca="false">IF(ISERROR(STDEVP(K23:K82)),"  ",STDEVP(K23:K82))</f>
        <v>0.589015089373952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19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0.17</v>
      </c>
      <c r="C12" s="111" t="n">
        <v>0.1</v>
      </c>
      <c r="D12" s="87"/>
      <c r="E12" s="87"/>
      <c r="F12" s="104" t="n">
        <f aca="false">($B12*$B$7+$C12*$C$7)/100</f>
        <v>0.1665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1.03</v>
      </c>
      <c r="C13" s="111" t="n">
        <v>0.21</v>
      </c>
      <c r="D13" s="87"/>
      <c r="E13" s="87"/>
      <c r="F13" s="104" t="n">
        <f aca="false">($B13*$B$7+$C13*$C$7)/100</f>
        <v>0.989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8</v>
      </c>
      <c r="M13" s="108"/>
      <c r="N13" s="116" t="s">
        <v>41</v>
      </c>
      <c r="O13" s="117" t="n">
        <f aca="false">COUNTIF(F23:F82,"&gt;0")</f>
        <v>14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14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0.01</v>
      </c>
      <c r="C15" s="124" t="n">
        <v>0.02</v>
      </c>
      <c r="D15" s="87"/>
      <c r="E15" s="87"/>
      <c r="F15" s="104" t="n">
        <f aca="false">($B15*$B$7+$C15*$C$7)/100</f>
        <v>0.0105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1</v>
      </c>
      <c r="M15" s="108"/>
      <c r="N15" s="116" t="s">
        <v>47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8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1.2</v>
      </c>
      <c r="C17" s="111" t="n">
        <v>0.31</v>
      </c>
      <c r="D17" s="87"/>
      <c r="E17" s="87"/>
      <c r="F17" s="129"/>
      <c r="G17" s="130" t="n">
        <f aca="false">($B17*$B$7+$C17*$C$7)/100</f>
        <v>1.1555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0.01</v>
      </c>
      <c r="C18" s="138" t="n">
        <v>0.02</v>
      </c>
      <c r="D18" s="87"/>
      <c r="E18" s="139" t="s">
        <v>54</v>
      </c>
      <c r="F18" s="129"/>
      <c r="G18" s="130" t="n">
        <f aca="false">($B18*$B$7+$C18*$C$7)/100</f>
        <v>0.0105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1.166</v>
      </c>
      <c r="G19" s="150" t="n">
        <f aca="false">SUM(G16:G18)</f>
        <v>1.166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1.21</v>
      </c>
      <c r="C20" s="160" t="n">
        <f aca="false">SUM(C23:C62)</f>
        <v>0.33</v>
      </c>
      <c r="D20" s="161"/>
      <c r="E20" s="162" t="s">
        <v>54</v>
      </c>
      <c r="F20" s="163" t="n">
        <f aca="false">($B20*$B$7+$C20*$C$7)/100</f>
        <v>1.166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1.1495</v>
      </c>
      <c r="C21" s="171" t="n">
        <f aca="false">C20*C7/100</f>
        <v>0.0165</v>
      </c>
      <c r="D21" s="172" t="s">
        <v>57</v>
      </c>
      <c r="E21" s="173"/>
      <c r="F21" s="174" t="n">
        <f aca="false">B21+C21</f>
        <v>1.166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0.1</v>
      </c>
      <c r="C23" s="200" t="n">
        <v>0.1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Oedogonium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0.0095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Oedogonium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1134</v>
      </c>
      <c r="R24" s="211" t="n">
        <f aca="false">IF(ISTEXT(H24),"",(B24*$B$7/100)+(C24*$C$7/100))</f>
        <v>0.0095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6</v>
      </c>
      <c r="U24" s="212" t="n">
        <f aca="false">IF(ISERROR(S24*J24*K24),0,S24*J24*K24)</f>
        <v>12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OEDSPX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85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Tetraspora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Tetraspora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1138</v>
      </c>
      <c r="R25" s="211" t="n">
        <f aca="false">IF(ISTEXT(H25),"",(B25*$B$7/100)+(C25*$C$7/100))</f>
        <v>0.0095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12</v>
      </c>
      <c r="U25" s="212" t="n">
        <f aca="false">IF(ISERROR(S25*J25*K25),0,S25*J25*K25)</f>
        <v>12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TETSPX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107</v>
      </c>
    </row>
    <row r="26" customFormat="false" ht="12.75" hidden="false" customHeight="false" outlineLevel="0" collapsed="false">
      <c r="A26" s="216" t="s">
        <v>83</v>
      </c>
      <c r="B26" s="217" t="n">
        <v>0.05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0.0475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0.0475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4</v>
      </c>
      <c r="U26" s="212" t="n">
        <f aca="false">IF(ISERROR(S26*J26*K26),0,S26*J26*K26)</f>
        <v>4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16</v>
      </c>
      <c r="B27" s="217" t="n">
        <v>0.2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Cinclidotus aquaticus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0.1905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Cinclidotus aquaticus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1318</v>
      </c>
      <c r="R27" s="211" t="n">
        <f aca="false">IF(ISTEXT(H27),"",(B27*$B$7/100)+(C27*$C$7/100))</f>
        <v>0.1905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30</v>
      </c>
      <c r="U27" s="212" t="n">
        <f aca="false">IF(ISERROR(S27*J27*K27),0,S27*J27*K27)</f>
        <v>60</v>
      </c>
      <c r="V27" s="228" t="n">
        <f aca="false">IF(ISERROR(S27*K27),0,S27*K27)</f>
        <v>4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CINAQU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221</v>
      </c>
    </row>
    <row r="28" customFormat="false" ht="12.75" hidden="false" customHeight="false" outlineLevel="0" collapsed="false">
      <c r="A28" s="216" t="s">
        <v>84</v>
      </c>
      <c r="B28" s="217" t="n">
        <v>0.6</v>
      </c>
      <c r="C28" s="218" t="n">
        <v>0.1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Cinclidotus riparius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0.575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13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Cinclidotus riparius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1321</v>
      </c>
      <c r="R28" s="211" t="n">
        <f aca="false">IF(ISTEXT(H28),"",(B28*$B$7/100)+(C28*$C$7/100))</f>
        <v>0.575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26</v>
      </c>
      <c r="U28" s="212" t="n">
        <f aca="false">IF(ISERROR(S28*J28*K28),0,S28*J28*K28)</f>
        <v>52</v>
      </c>
      <c r="V28" s="228" t="n">
        <f aca="false">IF(ISERROR(S28*K28),0,S28*K28)</f>
        <v>4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CINRIP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224</v>
      </c>
    </row>
    <row r="29" customFormat="false" ht="12.75" hidden="false" customHeight="false" outlineLevel="0" collapsed="false">
      <c r="A29" s="216" t="s">
        <v>85</v>
      </c>
      <c r="B29" s="217" t="n">
        <v>0.01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Fissidens crassipes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0.01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12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Fissidens crassipes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1294</v>
      </c>
      <c r="R29" s="211" t="n">
        <f aca="false">IF(ISTEXT(H29),"",(B29*$B$7/100)+(C29*$C$7/100))</f>
        <v>0.01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12</v>
      </c>
      <c r="U29" s="212" t="n">
        <f aca="false">IF(ISERROR(S29*J29*K29),0,S29*J29*K29)</f>
        <v>24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FISCRA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255</v>
      </c>
    </row>
    <row r="30" customFormat="false" ht="12.75" hidden="false" customHeight="false" outlineLevel="0" collapsed="false">
      <c r="A30" s="216" t="s">
        <v>86</v>
      </c>
      <c r="B30" s="217" t="n">
        <v>0.01</v>
      </c>
      <c r="C30" s="218" t="n">
        <v>0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Hygroamblystegium fluviatile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0.0095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11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Hygroamblystegium fluviatile 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1237</v>
      </c>
      <c r="R30" s="211" t="n">
        <f aca="false">IF(ISTEXT(H30),"",(B30*$B$7/100)+(C30*$C$7/100))</f>
        <v>0.0095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11</v>
      </c>
      <c r="U30" s="212" t="n">
        <f aca="false">IF(ISERROR(S30*J30*K30),0,S30*J30*K30)</f>
        <v>22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HYAFLU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281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Hygroamblystegium tenax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0.0005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15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Hygroamblystegium tenax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31552</v>
      </c>
      <c r="R31" s="211" t="n">
        <f aca="false">IF(ISTEXT(H31),"",(B31*$B$7/100)+(C31*$C$7/100))</f>
        <v>0.0005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15</v>
      </c>
      <c r="U31" s="212" t="n">
        <f aca="false">IF(ISERROR(S31*J31*K31),0,S31*J31*K31)</f>
        <v>30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HYATEN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283</v>
      </c>
    </row>
    <row r="32" customFormat="false" ht="12.75" hidden="false" customHeight="false" outlineLevel="0" collapsed="false">
      <c r="A32" s="216" t="s">
        <v>88</v>
      </c>
      <c r="B32" s="217" t="n">
        <v>0.01</v>
      </c>
      <c r="C32" s="218" t="n">
        <v>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Hygrohypnum luridum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0.0095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19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3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Hygrohypnum luridum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1240</v>
      </c>
      <c r="R32" s="211" t="n">
        <f aca="false">IF(ISTEXT(H32),"",(B32*$B$7/100)+(C32*$C$7/100))</f>
        <v>0.0095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19</v>
      </c>
      <c r="U32" s="212" t="n">
        <f aca="false">IF(ISERROR(S32*J32*K32),0,S32*J32*K32)</f>
        <v>57</v>
      </c>
      <c r="V32" s="228" t="n">
        <f aca="false">IF(ISERROR(S32*K32),0,S32*K32)</f>
        <v>3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HYGLUR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287</v>
      </c>
    </row>
    <row r="33" customFormat="false" ht="12.75" hidden="false" customHeight="false" outlineLevel="0" collapsed="false">
      <c r="A33" s="216" t="s">
        <v>89</v>
      </c>
      <c r="B33" s="217" t="n">
        <v>0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Leptodictyum riparium 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0.0005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Leptodictyum riparium 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1244</v>
      </c>
      <c r="R33" s="211" t="n">
        <f aca="false">IF(ISTEXT(H33),"",(B33*$B$7/100)+(C33*$C$7/100))</f>
        <v>0.0005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5</v>
      </c>
      <c r="U33" s="212" t="n">
        <f aca="false">IF(ISERROR(S33*J33*K33),0,S33*J33*K33)</f>
        <v>10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LEORIP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298</v>
      </c>
    </row>
    <row r="34" customFormat="false" ht="12.75" hidden="false" customHeight="false" outlineLevel="0" collapsed="false">
      <c r="A34" s="216" t="s">
        <v>90</v>
      </c>
      <c r="B34" s="217" t="n">
        <v>0.2</v>
      </c>
      <c r="C34" s="218" t="n">
        <v>0.07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Rhynchostegium riparioides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0.1935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Rhynchostegium riparioides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31691</v>
      </c>
      <c r="R34" s="211" t="n">
        <f aca="false">IF(ISTEXT(H34),"",(B34*$B$7/100)+(C34*$C$7/100))</f>
        <v>0.1935</v>
      </c>
      <c r="S34" s="212" t="n">
        <f aca="false">IF(OR(ISTEXT(H34),R34=0),"",IF(R34&lt;0.1,1,IF(R34&lt;1,2,IF(R34&lt;10,3,IF(R34&lt;50,4,IF(R34&gt;=50,5,""))))))</f>
        <v>2</v>
      </c>
      <c r="T34" s="212" t="n">
        <f aca="false">IF(ISERROR(S34*J34),0,S34*J34)</f>
        <v>24</v>
      </c>
      <c r="U34" s="212" t="n">
        <f aca="false">IF(ISERROR(S34*J34*K34),0,S34*J34*K34)</f>
        <v>24</v>
      </c>
      <c r="V34" s="228" t="n">
        <f aca="false">IF(ISERROR(S34*K34),0,S34*K34)</f>
        <v>2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RHYRIP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345</v>
      </c>
    </row>
    <row r="35" customFormat="false" ht="12.75" hidden="false" customHeight="false" outlineLevel="0" collapsed="false">
      <c r="A35" s="216" t="s">
        <v>91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Equisetum fluviatile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0.0005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PTE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6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12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Equisetum fluviatile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1385</v>
      </c>
      <c r="R35" s="211" t="n">
        <f aca="false">IF(ISTEXT(H35),"",(B35*$B$7/100)+(C35*$C$7/100))</f>
        <v>0.0005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12</v>
      </c>
      <c r="U35" s="212" t="n">
        <f aca="false">IF(ISERROR(S35*J35*K35),0,S35*J35*K35)</f>
        <v>24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EQUFLU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386</v>
      </c>
    </row>
    <row r="36" customFormat="false" ht="12.75" hidden="false" customHeight="false" outlineLevel="0" collapsed="false">
      <c r="A36" s="216" t="s">
        <v>92</v>
      </c>
      <c r="B36" s="217" t="n">
        <v>0.01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Phalaris arundinacea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0.01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PHe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8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10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1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Phalaris arundinacea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1577</v>
      </c>
      <c r="R36" s="211" t="n">
        <f aca="false">IF(ISTEXT(H36),"",(B36*$B$7/100)+(C36*$C$7/100))</f>
        <v>0.01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10</v>
      </c>
      <c r="U36" s="212" t="n">
        <f aca="false">IF(ISERROR(S36*J36*K36),0,S36*J36*K36)</f>
        <v>10</v>
      </c>
      <c r="V36" s="228" t="n">
        <f aca="false">IF(ISERROR(S36*K36),0,S36*K36)</f>
        <v>1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PHAARU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707</v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1.166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30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FIER</v>
      </c>
      <c r="B84" s="180" t="str">
        <f aca="false">C3</f>
        <v>FIER A POISY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11.7666666666667</v>
      </c>
      <c r="E84" s="254" t="n">
        <f aca="false">O13</f>
        <v>14</v>
      </c>
      <c r="F84" s="180" t="n">
        <f aca="false">O14</f>
        <v>14</v>
      </c>
      <c r="G84" s="180" t="n">
        <f aca="false">O15</f>
        <v>5</v>
      </c>
      <c r="H84" s="180" t="n">
        <f aca="false">O16</f>
        <v>8</v>
      </c>
      <c r="I84" s="180" t="n">
        <f aca="false">O17</f>
        <v>1</v>
      </c>
      <c r="J84" s="255" t="n">
        <f aca="false">O8</f>
        <v>10.8571428571429</v>
      </c>
      <c r="K84" s="256" t="n">
        <f aca="false">O9</f>
        <v>4.13792810227435</v>
      </c>
      <c r="L84" s="257" t="n">
        <f aca="false">O10</f>
        <v>4</v>
      </c>
      <c r="M84" s="257" t="n">
        <f aca="false">O11</f>
        <v>19</v>
      </c>
      <c r="N84" s="256" t="n">
        <f aca="false">P8</f>
        <v>1.71428571428571</v>
      </c>
      <c r="O84" s="256" t="n">
        <f aca="false">P9</f>
        <v>0.589015089373952</v>
      </c>
      <c r="P84" s="257" t="n">
        <f aca="false">P10</f>
        <v>1</v>
      </c>
      <c r="Q84" s="257" t="n">
        <f aca="false">P11</f>
        <v>3</v>
      </c>
      <c r="R84" s="257" t="n">
        <f aca="false">F21</f>
        <v>1.166</v>
      </c>
      <c r="S84" s="257" t="n">
        <f aca="false">L11</f>
        <v>0</v>
      </c>
      <c r="T84" s="257" t="n">
        <f aca="false">L12</f>
        <v>4</v>
      </c>
      <c r="U84" s="257" t="n">
        <f aca="false">L13</f>
        <v>8</v>
      </c>
      <c r="V84" s="258" t="n">
        <f aca="false">L15</f>
        <v>1</v>
      </c>
      <c r="W84" s="259" t="n">
        <f aca="false">L15</f>
        <v>1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94</v>
      </c>
      <c r="S87" s="8"/>
      <c r="T87" s="263" t="n">
        <f aca="false">VLOOKUP($T$91,($A$23:$U$82),20,FALSE())</f>
        <v>30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95</v>
      </c>
      <c r="S88" s="8"/>
      <c r="T88" s="263" t="n">
        <f aca="false">VLOOKUP($T$91,($A$23:$U$82),21,FALSE())</f>
        <v>60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96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97</v>
      </c>
      <c r="S90" s="8" t="s">
        <v>10</v>
      </c>
      <c r="T90" s="264" t="n">
        <f aca="false">IF(OR(ISERROR(SUM($U$23:$U$82)/SUM($V$23:$V$82)),F7&lt;&gt;100),-1,(SUM($U$23:$U$82)-T88)/(SUM($V$23:$V$82)-T89))</f>
        <v>11.2692307692308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98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99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100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2016-04-27T11:50:52Z</dcterms:created>
  <dc:creator>laurianne isebe</dc:creator>
  <dc:description/>
  <dc:language>fr-FR</dc:language>
  <cp:lastModifiedBy>laurianne isebe</cp:lastModifiedBy>
  <dcterms:modified xsi:type="dcterms:W3CDTF">2016-04-27T11:50:56Z</dcterms:modified>
  <cp:revision>0</cp:revision>
  <dc:subject/>
  <dc:title/>
</cp:coreProperties>
</file>