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<sst xmlns="http://schemas.openxmlformats.org/spreadsheetml/2006/main" count="105" uniqueCount="100">
  <si>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</si>
  <si>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</si>
  <si>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</si>
  <si>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CBERNARD SRENAHY</t>
  </si>
  <si>
    <t xml:space="preserve">conforme AFNOR T90-395 oct. 2003</t>
  </si>
  <si>
    <t xml:space="preserve">CHERAN</t>
  </si>
  <si>
    <t xml:space="preserve">CHERAN A JARSY</t>
  </si>
  <si>
    <t xml:space="preserve">06070400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</si>
  <si>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</si>
  <si>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</si>
  <si>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</si>
  <si>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</si>
  <si>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</si>
  <si>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</si>
  <si>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</si>
  <si>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</si>
  <si>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HYUSPX</t>
  </si>
  <si>
    <t xml:space="preserve">Faciès dominant</t>
  </si>
  <si>
    <t xml:space="preserve">rapide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</si>
  <si>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</si>
  <si>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</si>
  <si>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</si>
  <si>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</si>
  <si>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</si>
  <si>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</si>
  <si>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</si>
  <si>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</si>
  <si>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</si>
  <si>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</si>
  <si>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</si>
  <si>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</si>
  <si>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</si>
  <si>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</si>
  <si>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</si>
  <si>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</si>
  <si>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</si>
  <si>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</si>
  <si>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</si>
  <si>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</si>
  <si>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</si>
  <si>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</si>
  <si>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</si>
  <si>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</si>
  <si>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</si>
  <si>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</si>
  <si>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</si>
  <si>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</si>
  <si>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</si>
  <si>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</si>
  <si>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</si>
  <si>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</si>
  <si>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</si>
  <si>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</si>
  <si>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</si>
  <si>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</si>
  <si>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</si>
  <si>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</si>
  <si>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</si>
  <si>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</si>
  <si>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</si>
  <si>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</si>
  <si>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</si>
  <si>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</si>
  <si>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</si>
  <si>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</si>
  <si>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</si>
  <si>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</si>
  <si>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</si>
  <si>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</si>
  <si>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</si>
  <si>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</si>
  <si>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</si>
  <si>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</si>
  <si>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</si>
  <si>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</si>
  <si>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</si>
  <si>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</si>
  <si>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</si>
  <si>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</si>
  <si>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</si>
  <si>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LEASPX</t>
  </si>
  <si>
    <t xml:space="preserve">MICSPX</t>
  </si>
  <si>
    <t xml:space="preserve">PHOSPX</t>
  </si>
  <si>
    <t xml:space="preserve">TETSPX</t>
  </si>
  <si>
    <t xml:space="preserve">ULOSPX</t>
  </si>
  <si>
    <t xml:space="preserve">CINAQU</t>
  </si>
  <si>
    <t xml:space="preserve">CRAFIL</t>
  </si>
  <si>
    <t xml:space="preserve">HYGLUR</t>
  </si>
  <si>
    <t xml:space="preserve">RHYRIP</t>
  </si>
  <si>
    <t xml:space="preserve">newcod</t>
  </si>
  <si>
    <t xml:space="preserve">Encyonema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</si>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</sst>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i val="true"/>
      <sz val="11"/>
      <color rgb="FF000000"/>
      <name val="Calibri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26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26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9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2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9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9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9" fillId="20" borderId="4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6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9720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CHEJAR_10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</v>
      </c>
      <c r="M5" s="53"/>
      <c r="N5" s="54" t="s">
        <v>16</v>
      </c>
      <c r="O5" s="55" t="n">
        <v>13.7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13.3333333333333</v>
      </c>
      <c r="O8" s="84" t="n">
        <f aca="false">IF(ISERROR(AVERAGE(J23:J82)),"      -",AVERAGE(J23:J82))</f>
        <v>1.83333333333333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27.8</v>
      </c>
      <c r="C9" s="87" t="n">
        <v>47.5</v>
      </c>
      <c r="D9" s="88"/>
      <c r="E9" s="88"/>
      <c r="F9" s="89" t="n">
        <f aca="false">($B9*$B$7+$C9*$C$7)/100</f>
        <v>28.785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3.39934634239519</v>
      </c>
      <c r="O9" s="84" t="n">
        <f aca="false">IF(ISERROR(STDEVP(J23:J82)),"      -",STDEVP(J23:J82))</f>
        <v>0.687184270936277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21.2</v>
      </c>
      <c r="C12" s="119" t="n">
        <v>47</v>
      </c>
      <c r="D12" s="111"/>
      <c r="E12" s="111"/>
      <c r="F12" s="112" t="n">
        <f aca="false">($B12*$B$7+$C12*$C$7)/100</f>
        <v>22.49</v>
      </c>
      <c r="G12" s="120"/>
      <c r="H12" s="68"/>
      <c r="I12" s="121" t="s">
        <v>39</v>
      </c>
      <c r="J12" s="121"/>
      <c r="K12" s="115" t="n">
        <f aca="false">COUNTIF($G$23:$G$82,"=ALG")</f>
        <v>8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6.6</v>
      </c>
      <c r="C13" s="119" t="n">
        <v>0.5</v>
      </c>
      <c r="D13" s="111"/>
      <c r="E13" s="111"/>
      <c r="F13" s="112" t="n">
        <f aca="false">($B13*$B$7+$C13*$C$7)/100</f>
        <v>6.295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13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27.8</v>
      </c>
      <c r="C17" s="119" t="n">
        <v>47.5</v>
      </c>
      <c r="D17" s="111"/>
      <c r="E17" s="111"/>
      <c r="F17" s="143"/>
      <c r="G17" s="112" t="n">
        <f aca="false">($B17*$B$7+$C17*$C$7)/100</f>
        <v>28.785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28.785</v>
      </c>
      <c r="G19" s="156" t="n">
        <f aca="false">SUM(G16:G18)</f>
        <v>28.785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27.81</v>
      </c>
      <c r="C20" s="166" t="n">
        <f aca="false">SUM(C23:C82)</f>
        <v>47.62</v>
      </c>
      <c r="D20" s="167"/>
      <c r="E20" s="168" t="s">
        <v>54</v>
      </c>
      <c r="F20" s="169" t="n">
        <f aca="false">($B20*$B$7+$C20*$C$7)/100</f>
        <v>28.8005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26.4195</v>
      </c>
      <c r="C21" s="179" t="n">
        <f aca="false">C20*C7/100</f>
        <v>2.381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28.8005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5</v>
      </c>
      <c r="C23" s="206" t="n">
        <v>3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4.9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4.9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18</v>
      </c>
      <c r="T23" s="217" t="n">
        <f aca="false">IF(ISERROR(R23*I23*J23),0,R23*I23*J23)</f>
        <v>18</v>
      </c>
      <c r="U23" s="217" t="n">
        <f aca="false">IF(ISERROR(R23*J23),0,R23*J23)</f>
        <v>3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38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6" t="e">
        <f aca="false">IF(D24="",0,VLOOKUP(D24,D$22:D23,1,0))</f>
        <v>#N/A</v>
      </c>
      <c r="F24" s="227" t="n">
        <f aca="false">($B24*$B$7+$C24*$C$7)/100</f>
        <v>1.9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6" t="n">
        <f aca="false">IF(ISTEXT(H24),"",(B24*$B$7/100)+(C24*$C$7/100))</f>
        <v>1.9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36</v>
      </c>
      <c r="T24" s="217" t="n">
        <f aca="false">IF(ISERROR(R24*I24*J24),0,R24*I24*J24)</f>
        <v>72</v>
      </c>
      <c r="U24" s="229" t="n">
        <f aca="false">IF(ISERROR(R24*J24),0,R24*J24)</f>
        <v>6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16</v>
      </c>
      <c r="B25" s="224" t="n">
        <v>5</v>
      </c>
      <c r="C25" s="225" t="n">
        <v>0.1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Hydrurus sp.</v>
      </c>
      <c r="E25" s="226" t="e">
        <f aca="false">IF(D25="",0,VLOOKUP(D25,D$22:D24,1,0))</f>
        <v>#N/A</v>
      </c>
      <c r="F25" s="227" t="n">
        <f aca="false">($B25*$B$7+$C25*$C$7)/100</f>
        <v>4.755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16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Hydrurus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6183</v>
      </c>
      <c r="Q25" s="216" t="n">
        <f aca="false">IF(ISTEXT(H25),"",(B25*$B$7/100)+(C25*$C$7/100))</f>
        <v>4.755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48</v>
      </c>
      <c r="T25" s="217" t="n">
        <f aca="false">IF(ISERROR(R25*I25*J25),0,R25*I25*J25)</f>
        <v>96</v>
      </c>
      <c r="U25" s="229" t="n">
        <f aca="false">IF(ISERROR(R25*J25),0,R25*J25)</f>
        <v>6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HYUSPX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33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5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Lemanea sp.</v>
      </c>
      <c r="E26" s="226" t="e">
        <f aca="false">IF(D26="",0,VLOOKUP(D26,D$22:D25,1,0))</f>
        <v>#N/A</v>
      </c>
      <c r="F26" s="227" t="n">
        <f aca="false">($B26*$B$7+$C26*$C$7)/100</f>
        <v>4.75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15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Lemanea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1159</v>
      </c>
      <c r="Q26" s="216" t="n">
        <f aca="false">IF(ISTEXT(H26),"",(B26*$B$7/100)+(C26*$C$7/100))</f>
        <v>4.75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45</v>
      </c>
      <c r="T26" s="217" t="n">
        <f aca="false">IF(ISERROR(R26*I26*J26),0,R26*I26*J26)</f>
        <v>90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LEASPX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34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Microspora sp.</v>
      </c>
      <c r="E27" s="226" t="e">
        <f aca="false">IF(D27="",0,VLOOKUP(D27,D$22:D26,1,0))</f>
        <v>#N/A</v>
      </c>
      <c r="F27" s="227" t="n">
        <f aca="false">($B27*$B$7+$C27*$C$7)/100</f>
        <v>0.0095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Microspora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1132</v>
      </c>
      <c r="Q27" s="216" t="n">
        <f aca="false">IF(ISTEXT(H27),"",(B27*$B$7/100)+(C27*$C$7/100))</f>
        <v>0.0095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24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MICSPX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41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6</v>
      </c>
      <c r="C28" s="225" t="n">
        <v>4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Phormidium sp.</v>
      </c>
      <c r="E28" s="226" t="e">
        <f aca="false">IF(D28="",0,VLOOKUP(D28,D$22:D27,1,0))</f>
        <v>#N/A</v>
      </c>
      <c r="F28" s="227" t="n">
        <f aca="false">($B28*$B$7+$C28*$C$7)/100</f>
        <v>5.9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13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Phormidium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6414</v>
      </c>
      <c r="Q28" s="216" t="n">
        <f aca="false">IF(ISTEXT(H28),"",(B28*$B$7/100)+(C28*$C$7/100))</f>
        <v>5.9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39</v>
      </c>
      <c r="T28" s="217" t="n">
        <f aca="false">IF(ISERROR(R28*I28*J28),0,R28*I28*J28)</f>
        <v>78</v>
      </c>
      <c r="U28" s="229" t="n">
        <f aca="false">IF(ISERROR(R28*J28),0,R28*J28)</f>
        <v>6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PHOSPX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57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Tetraspora sp.</v>
      </c>
      <c r="E29" s="226" t="e">
        <f aca="false">IF(D29="",0,VLOOKUP(D29,D$22:D28,1,0))</f>
        <v>#N/A</v>
      </c>
      <c r="F29" s="227" t="n">
        <f aca="false">($B29*$B$7+$C29*$C$7)/100</f>
        <v>0.0005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Tetraspora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1138</v>
      </c>
      <c r="Q29" s="216" t="n">
        <f aca="false">IF(ISTEXT(H29),"",(B29*$B$7/100)+(C29*$C$7/100))</f>
        <v>0.0005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12</v>
      </c>
      <c r="T29" s="217" t="n">
        <f aca="false">IF(ISERROR(R29*I29*J29),0,R29*I29*J29)</f>
        <v>12</v>
      </c>
      <c r="U29" s="229" t="n">
        <f aca="false">IF(ISERROR(R29*J29),0,R29*J29)</f>
        <v>1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TETSPX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73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0.2</v>
      </c>
      <c r="C30" s="225" t="n">
        <v>2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Ulothrix sp.</v>
      </c>
      <c r="E30" s="226" t="e">
        <f aca="false">IF(D30="",0,VLOOKUP(D30,D$22:D29,1,0))</f>
        <v>#N/A</v>
      </c>
      <c r="F30" s="227" t="n">
        <f aca="false">($B30*$B$7+$C30*$C$7)/100</f>
        <v>0.29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Ulothrix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1142</v>
      </c>
      <c r="Q30" s="216" t="n">
        <f aca="false">IF(ISTEXT(H30),"",(B30*$B$7/100)+(C30*$C$7/100))</f>
        <v>0.29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20</v>
      </c>
      <c r="T30" s="217" t="n">
        <f aca="false">IF(ISERROR(R30*I30*J30),0,R30*I30*J30)</f>
        <v>20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ULOSPX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81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0.1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Cinclidotus aquaticus</v>
      </c>
      <c r="E31" s="226" t="e">
        <f aca="false">IF(D31="",0,VLOOKUP(D31,D$22:D30,1,0))</f>
        <v>#N/A</v>
      </c>
      <c r="F31" s="227" t="n">
        <f aca="false">($B31*$B$7+$C31*$C$7)/100</f>
        <v>0.095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15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Cinclidotus aquaticus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1318</v>
      </c>
      <c r="Q31" s="216" t="n">
        <f aca="false">IF(ISTEXT(H31),"",(B31*$B$7/100)+(C31*$C$7/100))</f>
        <v>0.095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15</v>
      </c>
      <c r="T31" s="217" t="n">
        <f aca="false">IF(ISERROR(R31*I31*J31),0,R31*I31*J31)</f>
        <v>30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CINAQU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170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0.1</v>
      </c>
      <c r="C32" s="225" t="n">
        <v>0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Cratoneuron filicinum</v>
      </c>
      <c r="E32" s="226" t="e">
        <f aca="false">IF(D32="",0,VLOOKUP(D32,D$22:D31,1,0))</f>
        <v>#N/A</v>
      </c>
      <c r="F32" s="227" t="n">
        <f aca="false">($B32*$B$7+$C32*$C$7)/100</f>
        <v>0.095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18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3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Cratoneuron filicinum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1233</v>
      </c>
      <c r="Q32" s="216" t="n">
        <f aca="false">IF(ISTEXT(H32),"",(B32*$B$7/100)+(C32*$C$7/100))</f>
        <v>0.095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18</v>
      </c>
      <c r="T32" s="217" t="n">
        <f aca="false">IF(ISERROR(R32*I32*J32),0,R32*I32*J32)</f>
        <v>54</v>
      </c>
      <c r="U32" s="229" t="n">
        <f aca="false">IF(ISERROR(R32*J32),0,R32*J32)</f>
        <v>3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CRAFIL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178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0.3</v>
      </c>
      <c r="C33" s="225" t="n">
        <v>0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Hygrohypnum luridum</v>
      </c>
      <c r="E33" s="226" t="e">
        <f aca="false">IF(D33="",0,VLOOKUP(D33,D$22:D32,1,0))</f>
        <v>#N/A</v>
      </c>
      <c r="F33" s="227" t="n">
        <f aca="false">($B33*$B$7+$C33*$C$7)/100</f>
        <v>0.285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19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3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Hygrohypnum luridum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1240</v>
      </c>
      <c r="Q33" s="216" t="n">
        <f aca="false">IF(ISTEXT(H33),"",(B33*$B$7/100)+(C33*$C$7/100))</f>
        <v>0.285</v>
      </c>
      <c r="R33" s="217" t="n">
        <f aca="false">IF(OR(ISTEXT(H33),Q33=0),"",IF(Q33&lt;0.1,1,IF(Q33&lt;1,2,IF(Q33&lt;10,3,IF(Q33&lt;50,4,IF(Q33&gt;=50,5,""))))))</f>
        <v>2</v>
      </c>
      <c r="S33" s="217" t="n">
        <f aca="false">IF(ISERROR(R33*I33),0,R33*I33)</f>
        <v>38</v>
      </c>
      <c r="T33" s="217" t="n">
        <f aca="false">IF(ISERROR(R33*I33*J33),0,R33*I33*J33)</f>
        <v>114</v>
      </c>
      <c r="U33" s="229" t="n">
        <f aca="false">IF(ISERROR(R33*J33),0,R33*J33)</f>
        <v>6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HYGLUR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219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6.1</v>
      </c>
      <c r="C34" s="225" t="n">
        <v>0.5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Rhynchostegium riparioides</v>
      </c>
      <c r="E34" s="226" t="e">
        <f aca="false">IF(D34="",0,VLOOKUP(D34,D$22:D33,1,0))</f>
        <v>#N/A</v>
      </c>
      <c r="F34" s="231" t="n">
        <f aca="false">($B34*$B$7+$C34*$C$7)/100</f>
        <v>5.82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12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Rhynchostegium riparioides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1268</v>
      </c>
      <c r="Q34" s="216" t="n">
        <f aca="false">IF(ISTEXT(H34),"",(B34*$B$7/100)+(C34*$C$7/100))</f>
        <v>5.82</v>
      </c>
      <c r="R34" s="217" t="n">
        <f aca="false">IF(OR(ISTEXT(H34),Q34=0),"",IF(Q34&lt;0.1,1,IF(Q34&lt;1,2,IF(Q34&lt;10,3,IF(Q34&lt;50,4,IF(Q34&gt;=50,5,""))))))</f>
        <v>3</v>
      </c>
      <c r="S34" s="217" t="n">
        <f aca="false">IF(ISERROR(R34*I34),0,R34*I34)</f>
        <v>36</v>
      </c>
      <c r="T34" s="217" t="n">
        <f aca="false">IF(ISERROR(R34*I34*J34),0,R34*I34*J34)</f>
        <v>36</v>
      </c>
      <c r="U34" s="229" t="n">
        <f aca="false">IF(ISERROR(R34*J34),0,R34*J34)</f>
        <v>3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RHYRIP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252</v>
      </c>
      <c r="AA34" s="221"/>
      <c r="AB34" s="222"/>
      <c r="AC34" s="222"/>
      <c r="BB34" s="10" t="n">
        <f aca="false">IF(A34="","",1)</f>
        <v>1</v>
      </c>
    </row>
    <row r="35" customFormat="false" ht="15" hidden="false" customHeight="false" outlineLevel="0" collapsed="false">
      <c r="A35" s="223" t="s">
        <v>89</v>
      </c>
      <c r="B35" s="224" t="n">
        <v>0</v>
      </c>
      <c r="C35" s="225" t="n">
        <v>0.01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0.0005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    -</v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Encyonema sp.</v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No</v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newcod</v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32" t="s">
        <v>90</v>
      </c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3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4"/>
      <c r="M59" s="234"/>
      <c r="N59" s="234"/>
      <c r="O59" s="214"/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4"/>
      <c r="M60" s="234"/>
      <c r="N60" s="234"/>
      <c r="O60" s="214"/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6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7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9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9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9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9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9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9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9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9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9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9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9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9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9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9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9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9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9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9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4"/>
      <c r="M81" s="234"/>
      <c r="N81" s="234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40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1"/>
      <c r="B82" s="242"/>
      <c r="C82" s="243"/>
      <c r="D82" s="244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5" t="n">
        <f aca="false">IF(D82="",0,VLOOKUP(D82,D$20:D80,1,0))</f>
        <v>0</v>
      </c>
      <c r="F82" s="246" t="n">
        <f aca="false">($B82*$B$7+$C82*$C$7)/100</f>
        <v>0</v>
      </c>
      <c r="G82" s="247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8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9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50"/>
      <c r="M82" s="250"/>
      <c r="N82" s="250"/>
      <c r="O82" s="251"/>
      <c r="P82" s="252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3"/>
      <c r="X82" s="254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5" t="s">
        <v>91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6"/>
      <c r="Q83" s="256"/>
      <c r="R83" s="256"/>
      <c r="S83" s="256"/>
      <c r="T83" s="10"/>
      <c r="U83" s="10"/>
      <c r="V83" s="256"/>
      <c r="W83" s="256"/>
      <c r="X83" s="256"/>
      <c r="Y83" s="257"/>
      <c r="Z83" s="257"/>
      <c r="AA83" s="257"/>
      <c r="AB83" s="258"/>
      <c r="AC83" s="258"/>
      <c r="AD83" s="258"/>
    </row>
    <row r="84" customFormat="false" ht="12.75" hidden="true" customHeight="false" outlineLevel="0" collapsed="false">
      <c r="A84" s="259" t="str">
        <f aca="false">A3</f>
        <v>CHERAN</v>
      </c>
      <c r="B84" s="260" t="str">
        <f aca="false">C3</f>
        <v>CHERAN A JARSY</v>
      </c>
      <c r="C84" s="261" t="n">
        <f aca="false">A4</f>
        <v>41465</v>
      </c>
      <c r="D84" s="262" t="n">
        <f aca="false">IF(ISERROR(SUM($T$23:$T$82)/SUM($U$23:$U$82)),"",SUM($T$23:$T$82)/SUM($U$23:$U$82))</f>
        <v>14</v>
      </c>
      <c r="E84" s="263" t="n">
        <f aca="false">N13</f>
        <v>13</v>
      </c>
      <c r="F84" s="260" t="n">
        <f aca="false">N14</f>
        <v>12</v>
      </c>
      <c r="G84" s="260" t="n">
        <f aca="false">N15</f>
        <v>4</v>
      </c>
      <c r="H84" s="260" t="n">
        <f aca="false">N16</f>
        <v>6</v>
      </c>
      <c r="I84" s="260" t="n">
        <f aca="false">N17</f>
        <v>2</v>
      </c>
      <c r="J84" s="264" t="n">
        <f aca="false">N8</f>
        <v>13.3333333333333</v>
      </c>
      <c r="K84" s="262" t="n">
        <f aca="false">N9</f>
        <v>3.39934634239519</v>
      </c>
      <c r="L84" s="263" t="n">
        <f aca="false">N10</f>
        <v>6</v>
      </c>
      <c r="M84" s="263" t="n">
        <f aca="false">N11</f>
        <v>19</v>
      </c>
      <c r="N84" s="262" t="n">
        <f aca="false">O8</f>
        <v>1.83333333333333</v>
      </c>
      <c r="O84" s="262" t="n">
        <f aca="false">O9</f>
        <v>0.687184270936277</v>
      </c>
      <c r="P84" s="263" t="n">
        <f aca="false">O10</f>
        <v>1</v>
      </c>
      <c r="Q84" s="263" t="n">
        <f aca="false">O11</f>
        <v>3</v>
      </c>
      <c r="R84" s="263" t="n">
        <f aca="false">F21</f>
        <v>28.8005</v>
      </c>
      <c r="S84" s="263" t="n">
        <f aca="false">K11</f>
        <v>0</v>
      </c>
      <c r="T84" s="263" t="n">
        <f aca="false">K12</f>
        <v>8</v>
      </c>
      <c r="U84" s="263" t="n">
        <f aca="false">K13</f>
        <v>4</v>
      </c>
      <c r="V84" s="265" t="n">
        <f aca="false">K14</f>
        <v>0</v>
      </c>
      <c r="W84" s="266" t="n">
        <f aca="false">K15</f>
        <v>0</v>
      </c>
      <c r="Z84" s="267"/>
      <c r="AA84" s="267"/>
      <c r="AB84" s="258"/>
      <c r="AC84" s="258"/>
      <c r="AD84" s="258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8" t="s">
        <v>92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8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8" t="n">
        <f aca="false">VLOOKUP((S87),($S$23:$U$82),2,0)</f>
        <v>96</v>
      </c>
      <c r="T88" s="10"/>
      <c r="U88" s="10"/>
      <c r="V88" s="10"/>
    </row>
    <row r="89" customFormat="false" ht="12.75" hidden="true" customHeight="false" outlineLevel="0" collapsed="false">
      <c r="Q89" s="10" t="s">
        <v>95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9" t="n">
        <f aca="false">IF(ISERROR(SUM($T$23:$T$82)/SUM($U$23:$U$82)),"",(SUM($T$23:$T$82)-S88)/(SUM($U$23:$U$82)-S89))</f>
        <v>13.7</v>
      </c>
      <c r="T90" s="10"/>
    </row>
    <row r="91" customFormat="false" ht="12.75" hidden="false" customHeight="false" outlineLevel="0" collapsed="false">
      <c r="Q91" s="217" t="s">
        <v>97</v>
      </c>
      <c r="R91" s="217"/>
      <c r="S91" s="217" t="str">
        <f aca="false">INDEX('[1]liste reference'!$A$8:$A$904,$T$91)</f>
        <v>HYUSPX</v>
      </c>
      <c r="T91" s="10" t="n">
        <f aca="false">IF(ISERROR(MATCH($S$93,'[1]liste reference'!$A$8:$A$904,0)),MATCH($S$93,'[1]liste reference'!$B$8:$B$904,0),(MATCH($S$93,'[1]liste reference'!$A$8:$A$904,0)))</f>
        <v>33</v>
      </c>
      <c r="U91" s="258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99</v>
      </c>
      <c r="R93" s="10"/>
      <c r="S93" s="217" t="str">
        <f aca="false">INDEX($A$23:$A$82,$S$92)</f>
        <v>HYUSPX</v>
      </c>
      <c r="T93" s="10"/>
    </row>
    <row r="94" customFormat="false" ht="12.75" hidden="false" customHeight="false" outlineLevel="0" collapsed="false">
      <c r="S94" s="258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2013-12-13T10:36:27Z</dcterms:created>
  <dc:creator>li</dc:creator>
  <dc:description/>
  <dc:language>fr-FR</dc:language>
  <cp:lastModifiedBy>li</cp:lastModifiedBy>
  <dcterms:modified xsi:type="dcterms:W3CDTF">2013-12-13T10:36:30Z</dcterms:modified>
  <cp:revision>0</cp:revision>
  <dc:subject/>
  <dc:title/>
</cp:coreProperties>
</file>