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<sst xmlns="http://schemas.openxmlformats.org/spreadsheetml/2006/main" count="102" uniqueCount="97">
  <si>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</si>
  <si>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</si>
  <si>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</si>
  <si>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L.ISEBE</t>
  </si>
  <si>
    <t xml:space="preserve">conforme AFNOR T90-395 oct. 2003</t>
  </si>
  <si>
    <t xml:space="preserve">Chéran</t>
  </si>
  <si>
    <t xml:space="preserve">Chéran à Jarsy</t>
  </si>
  <si>
    <t xml:space="preserve">06070400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</si>
  <si>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</si>
  <si>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</si>
  <si>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</si>
  <si>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</si>
  <si>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</si>
  <si>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</si>
  <si>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</si>
  <si>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</si>
  <si>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RHYRIP</t>
  </si>
  <si>
    <t xml:space="preserve">Faciès dominant</t>
  </si>
  <si>
    <t xml:space="preserve">rapide</t>
  </si>
  <si>
    <t xml:space="preserve">plat lentique</t>
  </si>
  <si>
    <t xml:space="preserve">niv. trophique:</t>
  </si>
  <si>
    <t xml:space="preserve">moyen</t>
  </si>
  <si>
    <t xml:space="preserve">(moyen)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</si>
  <si>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</si>
  <si>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</si>
  <si>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</si>
  <si>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</si>
  <si>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</si>
  <si>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</si>
  <si>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</si>
  <si>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</si>
  <si>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</si>
  <si>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peu abondant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</si>
  <si>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</si>
  <si>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</si>
  <si>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</si>
  <si>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</si>
  <si>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</si>
  <si>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</si>
  <si>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</si>
  <si>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</si>
  <si>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</si>
  <si>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</si>
  <si>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</si>
  <si>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</si>
  <si>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</si>
  <si>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</si>
  <si>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</si>
  <si>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</si>
  <si>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</si>
  <si>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</si>
  <si>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</si>
  <si>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</si>
  <si>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</si>
  <si>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</si>
  <si>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</si>
  <si>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</si>
  <si>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</si>
  <si>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</si>
  <si>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</si>
  <si>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</si>
  <si>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</si>
  <si>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</si>
  <si>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</si>
  <si>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</si>
  <si>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</si>
  <si>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</si>
  <si>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</si>
  <si>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</si>
  <si>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</si>
  <si>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</si>
  <si>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</si>
  <si>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</si>
  <si>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</si>
  <si>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</si>
  <si>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</si>
  <si>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</si>
  <si>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</si>
  <si>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CLASPX</t>
  </si>
  <si>
    <t xml:space="preserve">HYUSPX</t>
  </si>
  <si>
    <t xml:space="preserve">LEASPX</t>
  </si>
  <si>
    <t xml:space="preserve">MICSPX</t>
  </si>
  <si>
    <t xml:space="preserve">PHOSPX</t>
  </si>
  <si>
    <t xml:space="preserve">VAUSPX</t>
  </si>
  <si>
    <t xml:space="preserve">AMBFLU</t>
  </si>
  <si>
    <t xml:space="preserve">AMBRIP</t>
  </si>
  <si>
    <t xml:space="preserve">CINFON</t>
  </si>
  <si>
    <t xml:space="preserve">FISCRA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</si>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</sst>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4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000000"/>
      <name val="Arial"/>
      <family val="2"/>
    </font>
    <font>
      <b val="true"/>
      <i val="true"/>
      <sz val="10"/>
      <color rgb="FF000000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1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2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3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6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6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5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3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4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8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8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8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1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1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30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3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30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30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2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30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30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1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CHEJAR_02-07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Récap."/><sheetName val="Macro1"/><sheetName val="notice"/><sheetName val="liste reference"/><sheetName val="modele"/><sheetName val="liste codes réf"/></sheetNames><sheetDataSet><sheetData sheetId="0"></sheetData><sheetData sheetId="1"></sheetData><sheetData sheetId="2"></sheetData><sheetData sheetId="3"></sheetData><sheetData sheetId="4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5"></sheetData><sheetData sheetId="6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41822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10.6666666666667</v>
      </c>
      <c r="M5" s="53"/>
      <c r="N5" s="54" t="s">
        <v>16</v>
      </c>
      <c r="O5" s="55" t="n">
        <v>10.5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95</v>
      </c>
      <c r="C7" s="67" t="n">
        <v>5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10.7272727272727</v>
      </c>
      <c r="O8" s="84" t="n">
        <f aca="false">IF(ISERROR(AVERAGE(J23:J82)),"      -",AVERAGE(J23:J82))</f>
        <v>1.72727272727273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25.22</v>
      </c>
      <c r="C9" s="87" t="n">
        <v>12.56</v>
      </c>
      <c r="D9" s="88"/>
      <c r="E9" s="88"/>
      <c r="F9" s="89" t="n">
        <f aca="false">($B9*$B$7+$C9*$C$7)/100</f>
        <v>24.587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3.79211883902077</v>
      </c>
      <c r="O9" s="84" t="n">
        <f aca="false">IF(ISERROR(STDEVP(J23:J82)),"      -",STDEVP(J23:J82))</f>
        <v>0.445361771415123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16</v>
      </c>
      <c r="O11" s="106" t="n">
        <f aca="false">MAX(J23:J82)</f>
        <v>2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5.2</v>
      </c>
      <c r="C12" s="119" t="n">
        <v>2.52</v>
      </c>
      <c r="D12" s="111"/>
      <c r="E12" s="111"/>
      <c r="F12" s="112" t="n">
        <f aca="false">($B12*$B$7+$C12*$C$7)/100</f>
        <v>5.066</v>
      </c>
      <c r="G12" s="120"/>
      <c r="H12" s="68"/>
      <c r="I12" s="121" t="s">
        <v>39</v>
      </c>
      <c r="J12" s="121"/>
      <c r="K12" s="115" t="n">
        <f aca="false">COUNTIF($G$23:$G$82,"=ALG")</f>
        <v>6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20.02</v>
      </c>
      <c r="C13" s="119" t="n">
        <v>10.04</v>
      </c>
      <c r="D13" s="111"/>
      <c r="E13" s="111"/>
      <c r="F13" s="112" t="n">
        <f aca="false">($B13*$B$7+$C13*$C$7)/100</f>
        <v>19.521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11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11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3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8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25.22</v>
      </c>
      <c r="C17" s="119" t="n">
        <v>12.56</v>
      </c>
      <c r="D17" s="111"/>
      <c r="E17" s="111"/>
      <c r="F17" s="143"/>
      <c r="G17" s="112" t="n">
        <f aca="false">($B17*$B$7+$C17*$C$7)/100</f>
        <v>24.587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0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24.587</v>
      </c>
      <c r="G19" s="156" t="n">
        <f aca="false">SUM(G16:G18)</f>
        <v>24.587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25.22</v>
      </c>
      <c r="C20" s="166" t="n">
        <f aca="false">SUM(C23:C82)</f>
        <v>12.56</v>
      </c>
      <c r="D20" s="167"/>
      <c r="E20" s="168" t="s">
        <v>54</v>
      </c>
      <c r="F20" s="169" t="n">
        <f aca="false">($B20*$B$7+$C20*$C$7)/100</f>
        <v>24.587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23.959</v>
      </c>
      <c r="C21" s="179" t="n">
        <f aca="false">C20*C7/100</f>
        <v>0.628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24.587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4</v>
      </c>
      <c r="C23" s="206" t="n">
        <v>0.8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Cladophora sp.</v>
      </c>
      <c r="E23" s="207" t="e">
        <f aca="false">IF(D23="",0,VLOOKUP(D23,D$22:D22,1,0))</f>
        <v>#N/A</v>
      </c>
      <c r="F23" s="208" t="n">
        <f aca="false">($B23*$B$7+$C23*$C$7)/100</f>
        <v>3.84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6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1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Cladophora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1124</v>
      </c>
      <c r="Q23" s="216" t="n">
        <f aca="false">IF(ISTEXT(H23),"",(B23*$B$7/100)+(C23*$C$7/100))</f>
        <v>3.84</v>
      </c>
      <c r="R23" s="217" t="n">
        <f aca="false">IF(OR(ISTEXT(H23),Q23=0),"",IF(Q23&lt;0.1,1,IF(Q23&lt;1,2,IF(Q23&lt;10,3,IF(Q23&lt;50,4,IF(Q23&gt;=50,5,""))))))</f>
        <v>3</v>
      </c>
      <c r="S23" s="217" t="n">
        <f aca="false">IF(ISERROR(R23*I23),0,R23*I23)</f>
        <v>18</v>
      </c>
      <c r="T23" s="217" t="n">
        <f aca="false">IF(ISERROR(R23*I23*J23),0,R23*I23*J23)</f>
        <v>18</v>
      </c>
      <c r="U23" s="217" t="n">
        <f aca="false">IF(ISERROR(R23*J23),0,R23*J23)</f>
        <v>3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CLASPX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23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0.8</v>
      </c>
      <c r="C24" s="225" t="n">
        <v>0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Hydrurus sp.</v>
      </c>
      <c r="E24" s="226" t="e">
        <f aca="false">IF(D24="",0,VLOOKUP(D24,D$22:D23,1,0))</f>
        <v>#N/A</v>
      </c>
      <c r="F24" s="227" t="n">
        <f aca="false">($B24*$B$7+$C24*$C$7)/100</f>
        <v>0.76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16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2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Hydrurus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6183</v>
      </c>
      <c r="Q24" s="216" t="n">
        <f aca="false">IF(ISTEXT(H24),"",(B24*$B$7/100)+(C24*$C$7/100))</f>
        <v>0.76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32</v>
      </c>
      <c r="T24" s="217" t="n">
        <f aca="false">IF(ISERROR(R24*I24*J24),0,R24*I24*J24)</f>
        <v>64</v>
      </c>
      <c r="U24" s="229" t="n">
        <f aca="false">IF(ISERROR(R24*J24),0,R24*J24)</f>
        <v>4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HYUSPX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33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0.1</v>
      </c>
      <c r="C25" s="225" t="n">
        <v>0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Lemanea sp.</v>
      </c>
      <c r="E25" s="226" t="e">
        <f aca="false">IF(D25="",0,VLOOKUP(D25,D$22:D24,1,0))</f>
        <v>#N/A</v>
      </c>
      <c r="F25" s="227" t="n">
        <f aca="false">($B25*$B$7+$C25*$C$7)/100</f>
        <v>0.095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15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Lemanea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1159</v>
      </c>
      <c r="Q25" s="216" t="n">
        <f aca="false">IF(ISTEXT(H25),"",(B25*$B$7/100)+(C25*$C$7/100))</f>
        <v>0.095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15</v>
      </c>
      <c r="T25" s="217" t="n">
        <f aca="false">IF(ISERROR(R25*I25*J25),0,R25*I25*J25)</f>
        <v>30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LEASPX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34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</v>
      </c>
      <c r="C26" s="225" t="n">
        <v>1.21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Microspora sp.</v>
      </c>
      <c r="E26" s="226" t="e">
        <f aca="false">IF(D26="",0,VLOOKUP(D26,D$22:D25,1,0))</f>
        <v>#N/A</v>
      </c>
      <c r="F26" s="227" t="n">
        <f aca="false">($B26*$B$7+$C26*$C$7)/100</f>
        <v>0.0605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12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2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Microspora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1132</v>
      </c>
      <c r="Q26" s="216" t="n">
        <f aca="false">IF(ISTEXT(H26),"",(B26*$B$7/100)+(C26*$C$7/100))</f>
        <v>0.0605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12</v>
      </c>
      <c r="T26" s="217" t="n">
        <f aca="false">IF(ISERROR(R26*I26*J26),0,R26*I26*J26)</f>
        <v>24</v>
      </c>
      <c r="U26" s="229" t="n">
        <f aca="false">IF(ISERROR(R26*J26),0,R26*J26)</f>
        <v>2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MICSPX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41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0.3</v>
      </c>
      <c r="C27" s="225" t="n">
        <v>0.5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Phormidium sp.</v>
      </c>
      <c r="E27" s="226" t="e">
        <f aca="false">IF(D27="",0,VLOOKUP(D27,D$22:D26,1,0))</f>
        <v>#N/A</v>
      </c>
      <c r="F27" s="227" t="n">
        <f aca="false">($B27*$B$7+$C27*$C$7)/100</f>
        <v>0.31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ALG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2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13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Phormidium sp.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6414</v>
      </c>
      <c r="Q27" s="216" t="n">
        <f aca="false">IF(ISTEXT(H27),"",(B27*$B$7/100)+(C27*$C$7/100))</f>
        <v>0.31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26</v>
      </c>
      <c r="T27" s="217" t="n">
        <f aca="false">IF(ISERROR(R27*I27*J27),0,R27*I27*J27)</f>
        <v>52</v>
      </c>
      <c r="U27" s="229" t="n">
        <f aca="false">IF(ISERROR(R27*J27),0,R27*J27)</f>
        <v>4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PHOSPX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57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83</v>
      </c>
      <c r="B28" s="224" t="n">
        <v>0</v>
      </c>
      <c r="C28" s="225" t="n">
        <v>0.01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Vaucheria sp.</v>
      </c>
      <c r="E28" s="226" t="e">
        <f aca="false">IF(D28="",0,VLOOKUP(D28,D$22:D27,1,0))</f>
        <v>#N/A</v>
      </c>
      <c r="F28" s="227" t="n">
        <f aca="false">($B28*$B$7+$C28*$C$7)/100</f>
        <v>0.0005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ALG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2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4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1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Vaucheria sp.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6193</v>
      </c>
      <c r="Q28" s="216" t="n">
        <f aca="false">IF(ISTEXT(H28),"",(B28*$B$7/100)+(C28*$C$7/100))</f>
        <v>0.0005</v>
      </c>
      <c r="R28" s="217" t="n">
        <f aca="false">IF(OR(ISTEXT(H28),Q28=0),"",IF(Q28&lt;0.1,1,IF(Q28&lt;1,2,IF(Q28&lt;10,3,IF(Q28&lt;50,4,IF(Q28&gt;=50,5,""))))))</f>
        <v>1</v>
      </c>
      <c r="S28" s="217" t="n">
        <f aca="false">IF(ISERROR(R28*I28),0,R28*I28)</f>
        <v>4</v>
      </c>
      <c r="T28" s="217" t="n">
        <f aca="false">IF(ISERROR(R28*I28*J28),0,R28*I28*J28)</f>
        <v>4</v>
      </c>
      <c r="U28" s="229" t="n">
        <f aca="false">IF(ISERROR(R28*J28),0,R28*J28)</f>
        <v>1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VAUSPX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82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84</v>
      </c>
      <c r="B29" s="224" t="n">
        <v>2.5</v>
      </c>
      <c r="C29" s="225" t="n">
        <v>0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Amblystegium fluviatile</v>
      </c>
      <c r="E29" s="226" t="e">
        <f aca="false">IF(D29="",0,VLOOKUP(D29,D$22:D28,1,0))</f>
        <v>#N/A</v>
      </c>
      <c r="F29" s="227" t="n">
        <f aca="false">($B29*$B$7+$C29*$C$7)/100</f>
        <v>2.375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11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2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Amblystegium fluviatile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1223</v>
      </c>
      <c r="Q29" s="216" t="n">
        <f aca="false">IF(ISTEXT(H29),"",(B29*$B$7/100)+(C29*$C$7/100))</f>
        <v>2.375</v>
      </c>
      <c r="R29" s="217" t="n">
        <f aca="false">IF(OR(ISTEXT(H29),Q29=0),"",IF(Q29&lt;0.1,1,IF(Q29&lt;1,2,IF(Q29&lt;10,3,IF(Q29&lt;50,4,IF(Q29&gt;=50,5,""))))))</f>
        <v>3</v>
      </c>
      <c r="S29" s="217" t="n">
        <f aca="false">IF(ISERROR(R29*I29),0,R29*I29)</f>
        <v>33</v>
      </c>
      <c r="T29" s="217" t="n">
        <f aca="false">IF(ISERROR(R29*I29*J29),0,R29*I29*J29)</f>
        <v>66</v>
      </c>
      <c r="U29" s="229" t="n">
        <f aca="false">IF(ISERROR(R29*J29),0,R29*J29)</f>
        <v>6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AMBFLU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147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85</v>
      </c>
      <c r="B30" s="224" t="n">
        <v>2.5</v>
      </c>
      <c r="C30" s="225" t="n">
        <v>1.02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Amblystegium riparium</v>
      </c>
      <c r="E30" s="226" t="e">
        <f aca="false">IF(D30="",0,VLOOKUP(D30,D$22:D29,1,0))</f>
        <v>#N/A</v>
      </c>
      <c r="F30" s="227" t="n">
        <f aca="false">($B30*$B$7+$C30*$C$7)/100</f>
        <v>2.426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5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2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Amblystegium riparium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1219</v>
      </c>
      <c r="Q30" s="216" t="n">
        <f aca="false">IF(ISTEXT(H30),"",(B30*$B$7/100)+(C30*$C$7/100))</f>
        <v>2.426</v>
      </c>
      <c r="R30" s="217" t="n">
        <f aca="false">IF(OR(ISTEXT(H30),Q30=0),"",IF(Q30&lt;0.1,1,IF(Q30&lt;1,2,IF(Q30&lt;10,3,IF(Q30&lt;50,4,IF(Q30&gt;=50,5,""))))))</f>
        <v>3</v>
      </c>
      <c r="S30" s="217" t="n">
        <f aca="false">IF(ISERROR(R30*I30),0,R30*I30)</f>
        <v>15</v>
      </c>
      <c r="T30" s="217" t="n">
        <f aca="false">IF(ISERROR(R30*I30*J30),0,R30*I30*J30)</f>
        <v>30</v>
      </c>
      <c r="U30" s="229" t="n">
        <f aca="false">IF(ISERROR(R30*J30),0,R30*J30)</f>
        <v>6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AMBRIP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148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86</v>
      </c>
      <c r="B31" s="224" t="n">
        <v>0.02</v>
      </c>
      <c r="C31" s="225" t="n">
        <v>0.01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Cinclidotus fontinaloides</v>
      </c>
      <c r="E31" s="226" t="e">
        <f aca="false">IF(D31="",0,VLOOKUP(D31,D$22:D30,1,0))</f>
        <v>#N/A</v>
      </c>
      <c r="F31" s="227" t="n">
        <f aca="false">($B31*$B$7+$C31*$C$7)/100</f>
        <v>0.0195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12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2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Cinclidotus fontinaloides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1320</v>
      </c>
      <c r="Q31" s="216" t="n">
        <f aca="false">IF(ISTEXT(H31),"",(B31*$B$7/100)+(C31*$C$7/100))</f>
        <v>0.0195</v>
      </c>
      <c r="R31" s="217" t="n">
        <f aca="false">IF(OR(ISTEXT(H31),Q31=0),"",IF(Q31&lt;0.1,1,IF(Q31&lt;1,2,IF(Q31&lt;10,3,IF(Q31&lt;50,4,IF(Q31&gt;=50,5,""))))))</f>
        <v>1</v>
      </c>
      <c r="S31" s="217" t="n">
        <f aca="false">IF(ISERROR(R31*I31),0,R31*I31)</f>
        <v>12</v>
      </c>
      <c r="T31" s="217" t="n">
        <f aca="false">IF(ISERROR(R31*I31*J31),0,R31*I31*J31)</f>
        <v>24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CINFON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172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 t="s">
        <v>87</v>
      </c>
      <c r="B32" s="224" t="n">
        <v>0</v>
      </c>
      <c r="C32" s="225" t="n">
        <v>0.01</v>
      </c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>Fissidens crassipes</v>
      </c>
      <c r="E32" s="226" t="e">
        <f aca="false">IF(D32="",0,VLOOKUP(D32,D$22:D31,1,0))</f>
        <v>#N/A</v>
      </c>
      <c r="F32" s="227" t="n">
        <f aca="false">($B32*$B$7+$C32*$C$7)/100</f>
        <v>0.0005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>BRm</v>
      </c>
      <c r="H32" s="210" t="n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5</v>
      </c>
      <c r="I32" s="211" t="n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>12</v>
      </c>
      <c r="J32" s="211" t="n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>2</v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>Fissidens crassipes</v>
      </c>
      <c r="L32" s="228"/>
      <c r="M32" s="228"/>
      <c r="N32" s="228"/>
      <c r="O32" s="214"/>
      <c r="P32" s="215" t="n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>1294</v>
      </c>
      <c r="Q32" s="216" t="n">
        <f aca="false">IF(ISTEXT(H32),"",(B32*$B$7/100)+(C32*$C$7/100))</f>
        <v>0.0005</v>
      </c>
      <c r="R32" s="217" t="n">
        <f aca="false">IF(OR(ISTEXT(H32),Q32=0),"",IF(Q32&lt;0.1,1,IF(Q32&lt;1,2,IF(Q32&lt;10,3,IF(Q32&lt;50,4,IF(Q32&gt;=50,5,""))))))</f>
        <v>1</v>
      </c>
      <c r="S32" s="217" t="n">
        <f aca="false">IF(ISERROR(R32*I32),0,R32*I32)</f>
        <v>12</v>
      </c>
      <c r="T32" s="217" t="n">
        <f aca="false">IF(ISERROR(R32*I32*J32),0,R32*I32*J32)</f>
        <v>24</v>
      </c>
      <c r="U32" s="229" t="n">
        <f aca="false">IF(ISERROR(R32*J32),0,R32*J32)</f>
        <v>2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>FISCRA</v>
      </c>
      <c r="Z32" s="10" t="n">
        <f aca="false">IF(ISERROR(MATCH(A32,'[2]liste reference'!$A$8:$A$904,0)),IF(ISERROR(MATCH(A32,'[2]liste reference'!$B$8:$B$904,0)),"",(MATCH(A32,'[2]liste reference'!$B$8:$B$904,0))),(MATCH(A32,'[2]liste reference'!$A$8:$A$904,0)))</f>
        <v>197</v>
      </c>
      <c r="AA32" s="221"/>
      <c r="AB32" s="222"/>
      <c r="AC32" s="222"/>
      <c r="BB32" s="10" t="n">
        <f aca="false">IF(A32="","",1)</f>
        <v>1</v>
      </c>
    </row>
    <row r="33" customFormat="false" ht="12.75" hidden="false" customHeight="false" outlineLevel="0" collapsed="false">
      <c r="A33" s="223" t="s">
        <v>16</v>
      </c>
      <c r="B33" s="224" t="n">
        <v>15</v>
      </c>
      <c r="C33" s="225" t="n">
        <v>9</v>
      </c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>Rhynchostegium riparioides</v>
      </c>
      <c r="E33" s="226" t="e">
        <f aca="false">IF(D33="",0,VLOOKUP(D33,D$22:D32,1,0))</f>
        <v>#N/A</v>
      </c>
      <c r="F33" s="227" t="n">
        <f aca="false">($B33*$B$7+$C33*$C$7)/100</f>
        <v>14.7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>BRm</v>
      </c>
      <c r="H33" s="210" t="n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5</v>
      </c>
      <c r="I33" s="211" t="n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>12</v>
      </c>
      <c r="J33" s="211" t="n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>1</v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>Rhynchostegium riparioides</v>
      </c>
      <c r="L33" s="228"/>
      <c r="M33" s="228"/>
      <c r="N33" s="228"/>
      <c r="O33" s="214"/>
      <c r="P33" s="215" t="n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>1268</v>
      </c>
      <c r="Q33" s="216" t="n">
        <f aca="false">IF(ISTEXT(H33),"",(B33*$B$7/100)+(C33*$C$7/100))</f>
        <v>14.7</v>
      </c>
      <c r="R33" s="217" t="n">
        <f aca="false">IF(OR(ISTEXT(H33),Q33=0),"",IF(Q33&lt;0.1,1,IF(Q33&lt;1,2,IF(Q33&lt;10,3,IF(Q33&lt;50,4,IF(Q33&gt;=50,5,""))))))</f>
        <v>4</v>
      </c>
      <c r="S33" s="217" t="n">
        <f aca="false">IF(ISERROR(R33*I33),0,R33*I33)</f>
        <v>48</v>
      </c>
      <c r="T33" s="217" t="n">
        <f aca="false">IF(ISERROR(R33*I33*J33),0,R33*I33*J33)</f>
        <v>48</v>
      </c>
      <c r="U33" s="229" t="n">
        <f aca="false">IF(ISERROR(R33*J33),0,R33*J33)</f>
        <v>4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>RHYRIP</v>
      </c>
      <c r="Z33" s="10" t="n">
        <f aca="false">IF(ISERROR(MATCH(A33,'[2]liste reference'!$A$8:$A$904,0)),IF(ISERROR(MATCH(A33,'[2]liste reference'!$B$8:$B$904,0)),"",(MATCH(A33,'[2]liste reference'!$B$8:$B$904,0))),(MATCH(A33,'[2]liste reference'!$A$8:$A$904,0)))</f>
        <v>252</v>
      </c>
      <c r="AA33" s="221"/>
      <c r="AB33" s="222"/>
      <c r="AC33" s="222"/>
      <c r="BB33" s="10" t="n">
        <f aca="false">IF(A33="","",1)</f>
        <v>1</v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88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Chéran</v>
      </c>
      <c r="B84" s="259" t="str">
        <f aca="false">C3</f>
        <v>Chéran à Jarsy</v>
      </c>
      <c r="C84" s="260" t="n">
        <f aca="false">A4</f>
        <v>41822</v>
      </c>
      <c r="D84" s="261" t="n">
        <f aca="false">IF(ISERROR(SUM($T$23:$T$82)/SUM($U$23:$U$82)),"",SUM($T$23:$T$82)/SUM($U$23:$U$82))</f>
        <v>10.6666666666667</v>
      </c>
      <c r="E84" s="262" t="n">
        <f aca="false">N13</f>
        <v>11</v>
      </c>
      <c r="F84" s="259" t="n">
        <f aca="false">N14</f>
        <v>11</v>
      </c>
      <c r="G84" s="259" t="n">
        <f aca="false">N15</f>
        <v>3</v>
      </c>
      <c r="H84" s="259" t="n">
        <f aca="false">N16</f>
        <v>8</v>
      </c>
      <c r="I84" s="259" t="n">
        <f aca="false">N17</f>
        <v>0</v>
      </c>
      <c r="J84" s="263" t="n">
        <f aca="false">N8</f>
        <v>10.7272727272727</v>
      </c>
      <c r="K84" s="261" t="n">
        <f aca="false">N9</f>
        <v>3.79211883902077</v>
      </c>
      <c r="L84" s="262" t="n">
        <f aca="false">N10</f>
        <v>4</v>
      </c>
      <c r="M84" s="262" t="n">
        <f aca="false">N11</f>
        <v>16</v>
      </c>
      <c r="N84" s="261" t="n">
        <f aca="false">O8</f>
        <v>1.72727272727273</v>
      </c>
      <c r="O84" s="261" t="n">
        <f aca="false">O9</f>
        <v>0.445361771415123</v>
      </c>
      <c r="P84" s="262" t="n">
        <f aca="false">O10</f>
        <v>1</v>
      </c>
      <c r="Q84" s="262" t="n">
        <f aca="false">O11</f>
        <v>2</v>
      </c>
      <c r="R84" s="262" t="n">
        <f aca="false">F21</f>
        <v>24.587</v>
      </c>
      <c r="S84" s="262" t="n">
        <f aca="false">K11</f>
        <v>0</v>
      </c>
      <c r="T84" s="262" t="n">
        <f aca="false">K12</f>
        <v>6</v>
      </c>
      <c r="U84" s="262" t="n">
        <f aca="false">K13</f>
        <v>5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89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90</v>
      </c>
      <c r="R87" s="10"/>
      <c r="S87" s="218" t="n">
        <f aca="false">VLOOKUP(MAX($S$23:$S$82),($S$23:$U$82),1,0)</f>
        <v>48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91</v>
      </c>
      <c r="R88" s="10"/>
      <c r="S88" s="218" t="n">
        <f aca="false">VLOOKUP((S87),($S$23:$U$82),2,0)</f>
        <v>48</v>
      </c>
      <c r="T88" s="10"/>
      <c r="U88" s="10"/>
      <c r="V88" s="10"/>
    </row>
    <row r="89" customFormat="false" ht="12.75" hidden="true" customHeight="false" outlineLevel="0" collapsed="false">
      <c r="Q89" s="10" t="s">
        <v>92</v>
      </c>
      <c r="R89" s="10"/>
      <c r="S89" s="218" t="n">
        <f aca="false">VLOOKUP((S87),($S$23:$U$82),3,0)</f>
        <v>4</v>
      </c>
      <c r="T89" s="10"/>
    </row>
    <row r="90" customFormat="false" ht="12.75" hidden="false" customHeight="false" outlineLevel="0" collapsed="false">
      <c r="Q90" s="10" t="s">
        <v>93</v>
      </c>
      <c r="R90" s="10"/>
      <c r="S90" s="268" t="n">
        <f aca="false">IF(ISERROR(SUM($T$23:$T$82)/SUM($U$23:$U$82)),"",(SUM($T$23:$T$82)-S88)/(SUM($U$23:$U$82)-S89))</f>
        <v>10.5</v>
      </c>
      <c r="T90" s="10"/>
    </row>
    <row r="91" customFormat="false" ht="12.75" hidden="false" customHeight="false" outlineLevel="0" collapsed="false">
      <c r="Q91" s="217" t="s">
        <v>94</v>
      </c>
      <c r="R91" s="217"/>
      <c r="S91" s="217" t="str">
        <f aca="false">INDEX('[2]liste reference'!$A$8:$A$904,$T$91)</f>
        <v>RHYRIP</v>
      </c>
      <c r="T91" s="10" t="n">
        <f aca="false">IF(ISERROR(MATCH($S$93,'[2]liste reference'!$A$8:$A$904,0)),MATCH($S$93,'[2]liste reference'!$B$8:$B$904,0),(MATCH($S$93,'[2]liste reference'!$A$8:$A$904,0)))</f>
        <v>252</v>
      </c>
      <c r="U91" s="257"/>
    </row>
    <row r="92" customFormat="false" ht="12.75" hidden="false" customHeight="false" outlineLevel="0" collapsed="false">
      <c r="Q92" s="10" t="s">
        <v>95</v>
      </c>
      <c r="R92" s="10"/>
      <c r="S92" s="10" t="n">
        <f aca="false">MATCH(S87,$S$23:$S$82,0)</f>
        <v>11</v>
      </c>
      <c r="T92" s="10"/>
    </row>
    <row r="93" customFormat="false" ht="12.75" hidden="false" customHeight="false" outlineLevel="0" collapsed="false">
      <c r="Q93" s="217" t="s">
        <v>96</v>
      </c>
      <c r="R93" s="10"/>
      <c r="S93" s="217" t="str">
        <f aca="false">INDEX($A$23:$A$82,$S$92)</f>
        <v>RHYRIP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2015-03-17T13:28:47Z</dcterms:created>
  <dc:creator>Laurent Bourgoin</dc:creator>
  <dc:description/>
  <dc:language>fr-FR</dc:language>
  <cp:lastModifiedBy>Laurent Bourgoin</cp:lastModifiedBy>
  <dcterms:modified xsi:type="dcterms:W3CDTF">2015-03-17T13:28:52Z</dcterms:modified>
  <cp:revision>0</cp:revision>
  <dc:subject/>
  <dc:title/>
</cp:coreProperties>
</file>