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<sst xmlns="http://schemas.openxmlformats.org/spreadsheetml/2006/main" count="161" uniqueCount="95">
  <si>
    <t xml:space="preserve">Relevés floristiques aquatiques - IBMR</t>
  </si>
  <si>
    <t xml:space="preserve">modèle Irstea-GIS</t>
  </si>
  <si>
    <t xml:space="preserve">SAGE ENVIRONNEMENT</t>
  </si>
  <si>
    <t xml:space="preserve">PBELLY MSCHNEIDER</t>
  </si>
  <si>
    <t xml:space="preserve">CHERAN</t>
  </si>
  <si>
    <t xml:space="preserve">CHERAN A RUMILLY</t>
  </si>
  <si>
    <t xml:space="preserve">06071000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</si>
  <si>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</si>
  <si>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</si>
  <si>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</si>
  <si>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</si>
  <si>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</si>
  <si>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</si>
  <si>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</si>
  <si>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</si>
  <si>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</si>
  <si>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FISCRA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</si>
  <si>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</si>
  <si>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</si>
  <si>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</si>
  <si>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</si>
  <si>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</si>
  <si>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</si>
  <si>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</si>
  <si>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</si>
  <si>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</si>
  <si>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</si>
  <si>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</si>
  <si>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</si>
  <si>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</si>
  <si>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</si>
  <si>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</si>
  <si>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</si>
  <si>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</si>
  <si>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</si>
  <si>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</si>
  <si>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</si>
  <si>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</si>
  <si>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</si>
  <si>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</si>
  <si>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</si>
  <si>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</si>
  <si>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</si>
  <si>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</si>
  <si>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</si>
  <si>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</si>
  <si>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</si>
  <si>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</si>
  <si>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</si>
  <si>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</si>
  <si>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</si>
  <si>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</si>
  <si>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</si>
  <si>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</si>
  <si>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</si>
  <si>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</si>
  <si>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</si>
  <si>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</si>
  <si>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</si>
  <si>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</si>
  <si>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</si>
  <si>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</si>
  <si>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</si>
  <si>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</si>
  <si>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</si>
  <si>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</si>
  <si>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</si>
  <si>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</si>
  <si>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</si>
  <si>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</si>
  <si>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</si>
  <si>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</si>
  <si>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</si>
  <si>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</si>
  <si>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</si>
  <si>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</si>
  <si>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</si>
  <si>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</si>
  <si>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</si>
  <si>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MELSPX</t>
  </si>
  <si>
    <t xml:space="preserve"> -</t>
  </si>
  <si>
    <t xml:space="preserve">OEDSPX</t>
  </si>
  <si>
    <t xml:space="preserve">SPISPX</t>
  </si>
  <si>
    <t xml:space="preserve">VAUSPX</t>
  </si>
  <si>
    <t xml:space="preserve">CINRIP</t>
  </si>
  <si>
    <t xml:space="preserve">FONANT</t>
  </si>
  <si>
    <t xml:space="preserve">LEORIP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</si>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</sst>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CHERUM_01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42186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9.11111111111111</v>
      </c>
      <c r="N5" s="51"/>
      <c r="O5" s="52" t="s">
        <v>16</v>
      </c>
      <c r="P5" s="53" t="n">
        <v>8.28571428571429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75</v>
      </c>
      <c r="C7" s="69" t="n">
        <v>25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8.75</v>
      </c>
      <c r="P8" s="83" t="n">
        <f aca="false">IF(ISERROR(AVERAGE(K23:K82)),"  ",AVERAGE(K23:K82))</f>
        <v>1.5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0.15</v>
      </c>
      <c r="C9" s="86" t="n">
        <v>9.74</v>
      </c>
      <c r="D9" s="87"/>
      <c r="E9" s="87"/>
      <c r="F9" s="88" t="n">
        <f aca="false">($B9*$B$7+$C9*$C$7)/100</f>
        <v>2.5475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3.11247489949718</v>
      </c>
      <c r="P9" s="83" t="n">
        <f aca="false">IF(ISERROR(STDEVP(K23:K82)),"  ",STDEVP(K23:K82))</f>
        <v>0.5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13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0.13</v>
      </c>
      <c r="C12" s="111" t="n">
        <v>8.5</v>
      </c>
      <c r="D12" s="87"/>
      <c r="E12" s="87"/>
      <c r="F12" s="104" t="n">
        <f aca="false">($B12*$B$7+$C12*$C$7)/100</f>
        <v>2.2225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4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0.02</v>
      </c>
      <c r="C13" s="111" t="n">
        <v>1.24</v>
      </c>
      <c r="D13" s="87"/>
      <c r="E13" s="87"/>
      <c r="F13" s="104" t="n">
        <f aca="false">($B13*$B$7+$C13*$C$7)/100</f>
        <v>0.325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4</v>
      </c>
      <c r="M13" s="108"/>
      <c r="N13" s="116" t="s">
        <v>41</v>
      </c>
      <c r="O13" s="117" t="n">
        <f aca="false">COUNTIF(F23:F82,"&gt;0")</f>
        <v>8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8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4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4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0.15</v>
      </c>
      <c r="C17" s="111" t="n">
        <v>9.74</v>
      </c>
      <c r="D17" s="87"/>
      <c r="E17" s="87"/>
      <c r="F17" s="129"/>
      <c r="G17" s="130" t="n">
        <f aca="false">($B17*$B$7+$C17*$C$7)/100</f>
        <v>2.5475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2.5475</v>
      </c>
      <c r="G19" s="150" t="n">
        <f aca="false">SUM(G16:G18)</f>
        <v>2.5475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0.15</v>
      </c>
      <c r="C20" s="160" t="n">
        <f aca="false">SUM(C23:C62)</f>
        <v>9.74</v>
      </c>
      <c r="D20" s="161"/>
      <c r="E20" s="162" t="s">
        <v>54</v>
      </c>
      <c r="F20" s="163" t="n">
        <f aca="false">($B20*$B$7+$C20*$C$7)/100</f>
        <v>2.5475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0.1125</v>
      </c>
      <c r="C21" s="171" t="n">
        <f aca="false">C20*C7/100</f>
        <v>2.435</v>
      </c>
      <c r="D21" s="172" t="s">
        <v>57</v>
      </c>
      <c r="E21" s="173"/>
      <c r="F21" s="174" t="n">
        <f aca="false">B21+C21</f>
        <v>2.5475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0.01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Melosira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0.0075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10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Melosira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8714</v>
      </c>
      <c r="R23" s="211" t="n">
        <f aca="false">IF(ISTEXT(H23),"",(B23*$B$7/100)+(C23*$C$7/100))</f>
        <v>0.0075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10</v>
      </c>
      <c r="U23" s="212" t="n">
        <f aca="false">IF(ISERROR(S23*J23*K23),0,S23*J23*K23)</f>
        <v>10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MELSPX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62</v>
      </c>
    </row>
    <row r="24" customFormat="false" ht="12.75" hidden="false" customHeight="false" outlineLevel="0" collapsed="false">
      <c r="A24" s="216" t="s">
        <v>81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Oedogonium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0.0075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6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Oedogonium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1134</v>
      </c>
      <c r="R24" s="211" t="n">
        <f aca="false">IF(ISTEXT(H24),"",(B24*$B$7/100)+(C24*$C$7/100))</f>
        <v>0.0075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6</v>
      </c>
      <c r="U24" s="212" t="n">
        <f aca="false">IF(ISERROR(S24*J24*K24),0,S24*J24*K24)</f>
        <v>12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OEDSPX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85</v>
      </c>
    </row>
    <row r="25" customFormat="false" ht="12.75" hidden="false" customHeight="false" outlineLevel="0" collapsed="false">
      <c r="A25" s="216" t="s">
        <v>82</v>
      </c>
      <c r="B25" s="217" t="n">
        <v>0.015</v>
      </c>
      <c r="C25" s="218" t="n">
        <v>5.5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Spirogyra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1.38625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10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Spirogyra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1147</v>
      </c>
      <c r="R25" s="211" t="n">
        <f aca="false">IF(ISTEXT(H25),"",(B25*$B$7/100)+(C25*$C$7/100))</f>
        <v>1.38625</v>
      </c>
      <c r="S25" s="212" t="n">
        <f aca="false">IF(OR(ISTEXT(H25),R25=0),"",IF(R25&lt;0.1,1,IF(R25&lt;1,2,IF(R25&lt;10,3,IF(R25&lt;50,4,IF(R25&gt;=50,5,""))))))</f>
        <v>3</v>
      </c>
      <c r="T25" s="212" t="n">
        <f aca="false">IF(ISERROR(S25*J25),0,S25*J25)</f>
        <v>30</v>
      </c>
      <c r="U25" s="212" t="n">
        <f aca="false">IF(ISERROR(S25*J25*K25),0,S25*J25*K25)</f>
        <v>30</v>
      </c>
      <c r="V25" s="228" t="n">
        <f aca="false">IF(ISERROR(S25*K25),0,S25*K25)</f>
        <v>3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SPISPX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102</v>
      </c>
    </row>
    <row r="26" customFormat="false" ht="12.75" hidden="false" customHeight="false" outlineLevel="0" collapsed="false">
      <c r="A26" s="216" t="s">
        <v>83</v>
      </c>
      <c r="B26" s="217" t="n">
        <v>0.095</v>
      </c>
      <c r="C26" s="218" t="n">
        <v>3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Vaucheria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0.82125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4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Vaucheria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1169</v>
      </c>
      <c r="R26" s="211" t="n">
        <f aca="false">IF(ISTEXT(H26),"",(B26*$B$7/100)+(C26*$C$7/100))</f>
        <v>0.82125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8</v>
      </c>
      <c r="U26" s="212" t="n">
        <f aca="false">IF(ISERROR(S26*J26*K26),0,S26*J26*K26)</f>
        <v>8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VAUSPX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118</v>
      </c>
    </row>
    <row r="27" customFormat="false" ht="12.75" hidden="false" customHeight="false" outlineLevel="0" collapsed="false">
      <c r="A27" s="216" t="s">
        <v>84</v>
      </c>
      <c r="B27" s="217" t="n">
        <v>0.01</v>
      </c>
      <c r="C27" s="218" t="n">
        <v>0.15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Cinclidotus riparius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0.045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13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Cinclidotus riparius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1321</v>
      </c>
      <c r="R27" s="211" t="n">
        <f aca="false">IF(ISTEXT(H27),"",(B27*$B$7/100)+(C27*$C$7/100))</f>
        <v>0.045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13</v>
      </c>
      <c r="U27" s="212" t="n">
        <f aca="false">IF(ISERROR(S27*J27*K27),0,S27*J27*K27)</f>
        <v>26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CINRIP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224</v>
      </c>
    </row>
    <row r="28" customFormat="false" ht="12.75" hidden="false" customHeight="false" outlineLevel="0" collapsed="false">
      <c r="A28" s="216" t="s">
        <v>16</v>
      </c>
      <c r="B28" s="217" t="n">
        <v>0</v>
      </c>
      <c r="C28" s="218" t="n">
        <v>0.5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Fissidens crassipes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0.125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12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Fissidens crassipes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1294</v>
      </c>
      <c r="R28" s="211" t="n">
        <f aca="false">IF(ISTEXT(H28),"",(B28*$B$7/100)+(C28*$C$7/100))</f>
        <v>0.125</v>
      </c>
      <c r="S28" s="212" t="n">
        <f aca="false">IF(OR(ISTEXT(H28),R28=0),"",IF(R28&lt;0.1,1,IF(R28&lt;1,2,IF(R28&lt;10,3,IF(R28&lt;50,4,IF(R28&gt;=50,5,""))))))</f>
        <v>2</v>
      </c>
      <c r="T28" s="212" t="n">
        <f aca="false">IF(ISERROR(S28*J28),0,S28*J28)</f>
        <v>24</v>
      </c>
      <c r="U28" s="212" t="n">
        <f aca="false">IF(ISERROR(S28*J28*K28),0,S28*J28*K28)</f>
        <v>48</v>
      </c>
      <c r="V28" s="228" t="n">
        <f aca="false">IF(ISERROR(S28*K28),0,S28*K28)</f>
        <v>4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FISCRA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255</v>
      </c>
    </row>
    <row r="29" customFormat="false" ht="12.75" hidden="false" customHeight="false" outlineLevel="0" collapsed="false">
      <c r="A29" s="216" t="s">
        <v>85</v>
      </c>
      <c r="B29" s="217" t="n">
        <v>0.01</v>
      </c>
      <c r="C29" s="218" t="n">
        <v>0.5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Fontinalis antipyretica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0.1325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Fontinalis antipyretica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1310</v>
      </c>
      <c r="R29" s="211" t="n">
        <f aca="false">IF(ISTEXT(H29),"",(B29*$B$7/100)+(C29*$C$7/100))</f>
        <v>0.1325</v>
      </c>
      <c r="S29" s="212" t="n">
        <f aca="false">IF(OR(ISTEXT(H29),R29=0),"",IF(R29&lt;0.1,1,IF(R29&lt;1,2,IF(R29&lt;10,3,IF(R29&lt;50,4,IF(R29&gt;=50,5,""))))))</f>
        <v>2</v>
      </c>
      <c r="T29" s="212" t="n">
        <f aca="false">IF(ISERROR(S29*J29),0,S29*J29)</f>
        <v>20</v>
      </c>
      <c r="U29" s="212" t="n">
        <f aca="false">IF(ISERROR(S29*J29*K29),0,S29*J29*K29)</f>
        <v>20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FONANT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273</v>
      </c>
    </row>
    <row r="30" customFormat="false" ht="12.75" hidden="false" customHeight="false" outlineLevel="0" collapsed="false">
      <c r="A30" s="216" t="s">
        <v>86</v>
      </c>
      <c r="B30" s="217" t="n">
        <v>0</v>
      </c>
      <c r="C30" s="218" t="n">
        <v>0.09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Leptodictyum riparium 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0.0225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5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Leptodictyum riparium 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1244</v>
      </c>
      <c r="R30" s="211" t="n">
        <f aca="false">IF(ISTEXT(H30),"",(B30*$B$7/100)+(C30*$C$7/100))</f>
        <v>0.0225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5</v>
      </c>
      <c r="U30" s="212" t="n">
        <f aca="false">IF(ISERROR(S30*J30*K30),0,S30*J30*K30)</f>
        <v>10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LEORIP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298</v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80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80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2.5475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18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CHERAN</v>
      </c>
      <c r="B84" s="180" t="str">
        <f aca="false">C3</f>
        <v>CHERAN A RUMILLY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9.11111111111111</v>
      </c>
      <c r="E84" s="254" t="n">
        <f aca="false">O13</f>
        <v>8</v>
      </c>
      <c r="F84" s="180" t="n">
        <f aca="false">O14</f>
        <v>8</v>
      </c>
      <c r="G84" s="180" t="n">
        <f aca="false">O15</f>
        <v>4</v>
      </c>
      <c r="H84" s="180" t="n">
        <f aca="false">O16</f>
        <v>4</v>
      </c>
      <c r="I84" s="180" t="n">
        <f aca="false">O17</f>
        <v>0</v>
      </c>
      <c r="J84" s="255" t="n">
        <f aca="false">O8</f>
        <v>8.75</v>
      </c>
      <c r="K84" s="256" t="n">
        <f aca="false">O9</f>
        <v>3.11247489949718</v>
      </c>
      <c r="L84" s="257" t="n">
        <f aca="false">O10</f>
        <v>4</v>
      </c>
      <c r="M84" s="257" t="n">
        <f aca="false">O11</f>
        <v>13</v>
      </c>
      <c r="N84" s="256" t="n">
        <f aca="false">P8</f>
        <v>1.5</v>
      </c>
      <c r="O84" s="256" t="n">
        <f aca="false">P9</f>
        <v>0.5</v>
      </c>
      <c r="P84" s="257" t="n">
        <f aca="false">P10</f>
        <v>1</v>
      </c>
      <c r="Q84" s="257" t="n">
        <f aca="false">P11</f>
        <v>2</v>
      </c>
      <c r="R84" s="257" t="n">
        <f aca="false">F21</f>
        <v>2.5475</v>
      </c>
      <c r="S84" s="257" t="n">
        <f aca="false">L11</f>
        <v>0</v>
      </c>
      <c r="T84" s="257" t="n">
        <f aca="false">L12</f>
        <v>4</v>
      </c>
      <c r="U84" s="257" t="n">
        <f aca="false">L13</f>
        <v>4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88</v>
      </c>
      <c r="S87" s="8"/>
      <c r="T87" s="263" t="n">
        <f aca="false">VLOOKUP($T$91,($A$23:$U$82),20,FALSE())</f>
        <v>24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89</v>
      </c>
      <c r="S88" s="8"/>
      <c r="T88" s="263" t="n">
        <f aca="false">VLOOKUP($T$91,($A$23:$U$82),21,FALSE())</f>
        <v>48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90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91</v>
      </c>
      <c r="S90" s="8" t="s">
        <v>10</v>
      </c>
      <c r="T90" s="264" t="n">
        <f aca="false">IF(OR(ISERROR(SUM($U$23:$U$82)/SUM($V$23:$V$82)),F7&lt;&gt;100),-1,(SUM($U$23:$U$82)-T88)/(SUM($V$23:$V$82)-T89))</f>
        <v>8.28571428571429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92</v>
      </c>
      <c r="S91" s="212"/>
      <c r="T91" s="212" t="str">
        <f aca="false">INDEX('[1]liste reference'!$A$6:$A$1174,$U$91)</f>
        <v>FISCRA</v>
      </c>
      <c r="U91" s="8" t="n">
        <f aca="false">IF(ISERROR(MATCH($T$93,'[1]liste reference'!$A$6:$A$1174,0)),MATCH($T$93,'[1]liste reference'!$B$6:$B$1174,0),(MATCH($T$93,'[1]liste reference'!$A$6:$A$1174,0)))</f>
        <v>255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93</v>
      </c>
      <c r="S92" s="8"/>
      <c r="T92" s="8" t="n">
        <f aca="false">MATCH(T89,$V$23:$V$82,0)</f>
        <v>6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94</v>
      </c>
      <c r="S93" s="8"/>
      <c r="T93" s="212" t="str">
        <f aca="false">INDEX($A$23:$A$82,$T$92)</f>
        <v>FISCRA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2016-04-05T11:43:06Z</dcterms:created>
  <dc:creator>laurianne isebe</dc:creator>
  <dc:description/>
  <dc:language>fr-FR</dc:language>
  <cp:lastModifiedBy>laurianne isebe</cp:lastModifiedBy>
  <dcterms:modified xsi:type="dcterms:W3CDTF">2016-04-05T11:43:10Z</dcterms:modified>
  <cp:revision>0</cp:revision>
  <dc:subject/>
  <dc:title/>
</cp:coreProperties>
</file>