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<sst xmlns="http://schemas.openxmlformats.org/spreadsheetml/2006/main" count="113" uniqueCount="109">
  <si>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</si>
  <si>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</si>
  <si>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</si>
  <si>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 BOURGOIN C.BERNARD</t>
  </si>
  <si>
    <t xml:space="preserve">conforme AFNOR T90-395 oct. 2003</t>
  </si>
  <si>
    <t xml:space="preserve">FIER</t>
  </si>
  <si>
    <t xml:space="preserve">FIER A MOTZ</t>
  </si>
  <si>
    <t xml:space="preserve">06071900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</si>
  <si>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</si>
  <si>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</si>
  <si>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</si>
  <si>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</si>
  <si>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</si>
  <si>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</si>
  <si>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</si>
  <si>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</si>
  <si>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</si>
  <si>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</si>
  <si>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ch. lotique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</si>
  <si>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</si>
  <si>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</si>
  <si>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</si>
  <si>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</si>
  <si>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</si>
  <si>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</si>
  <si>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</si>
  <si>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</si>
  <si>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</si>
  <si>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</si>
  <si>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</si>
  <si>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</si>
  <si>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</si>
  <si>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</si>
  <si>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</si>
  <si>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</si>
  <si>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</si>
  <si>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</si>
  <si>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</si>
  <si>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</si>
  <si>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</si>
  <si>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</si>
  <si>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</si>
  <si>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</si>
  <si>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</si>
  <si>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</si>
  <si>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</si>
  <si>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</si>
  <si>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</si>
  <si>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</si>
  <si>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</si>
  <si>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</si>
  <si>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</si>
  <si>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</si>
  <si>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</si>
  <si>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</si>
  <si>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</si>
  <si>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</si>
  <si>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</si>
  <si>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</si>
  <si>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</si>
  <si>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</si>
  <si>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</si>
  <si>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</si>
  <si>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</si>
  <si>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</si>
  <si>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</si>
  <si>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</si>
  <si>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</si>
  <si>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</si>
  <si>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</si>
  <si>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</si>
  <si>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</si>
  <si>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</si>
  <si>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</si>
  <si>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</si>
  <si>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</si>
  <si>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</si>
  <si>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</si>
  <si>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</si>
  <si>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</si>
  <si>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MELSPX</t>
  </si>
  <si>
    <t xml:space="preserve">OEDSPX</t>
  </si>
  <si>
    <t xml:space="preserve">PHOSPX</t>
  </si>
  <si>
    <t xml:space="preserve">SPISPX</t>
  </si>
  <si>
    <t xml:space="preserve">TETSPX</t>
  </si>
  <si>
    <t xml:space="preserve">VAUSPX</t>
  </si>
  <si>
    <t xml:space="preserve">AMBTEN</t>
  </si>
  <si>
    <t xml:space="preserve">BRARIV</t>
  </si>
  <si>
    <t xml:space="preserve">FISCRA</t>
  </si>
  <si>
    <t xml:space="preserve">FONANT</t>
  </si>
  <si>
    <t xml:space="preserve">RHYRIP</t>
  </si>
  <si>
    <t xml:space="preserve">EQUSPX</t>
  </si>
  <si>
    <t xml:space="preserve">AGRSTO</t>
  </si>
  <si>
    <t xml:space="preserve">MENLON</t>
  </si>
  <si>
    <t xml:space="preserve">PHAARU</t>
  </si>
  <si>
    <t xml:space="preserve">VERANA</t>
  </si>
  <si>
    <t xml:space="preserve">DESCES</t>
  </si>
  <si>
    <t xml:space="preserve">RORISL</t>
  </si>
  <si>
    <t xml:space="preserve">newcod</t>
  </si>
  <si>
    <t xml:space="preserve">Encyonema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</si>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</sst>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15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15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15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15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9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2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9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9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6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FIEMOT_17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</v>
      </c>
      <c r="M5" s="53"/>
      <c r="N5" s="54" t="s">
        <v>16</v>
      </c>
      <c r="O5" s="55" t="n">
        <v>9.51351351351351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10.5625</v>
      </c>
      <c r="O8" s="84" t="n">
        <f aca="false">IF(ISERROR(AVERAGE(J23:J82)),"      -",AVERAGE(J23:J82))</f>
        <v>1.4375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58</v>
      </c>
      <c r="C9" s="87" t="n">
        <v>65.9</v>
      </c>
      <c r="D9" s="88"/>
      <c r="E9" s="88"/>
      <c r="F9" s="89" t="n">
        <f aca="false">($B9*$B$7+$C9*$C$7)/100</f>
        <v>59.185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2.99934888767546</v>
      </c>
      <c r="O9" s="84" t="n">
        <f aca="false">IF(ISERROR(STDEVP(J23:J82)),"      -",STDEVP(J23:J82))</f>
        <v>0.496078370824611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55.7</v>
      </c>
      <c r="C12" s="119" t="n">
        <v>65.6</v>
      </c>
      <c r="D12" s="111"/>
      <c r="E12" s="111"/>
      <c r="F12" s="112" t="n">
        <f aca="false">($B12*$B$7+$C12*$C$7)/100</f>
        <v>57.185</v>
      </c>
      <c r="G12" s="120"/>
      <c r="H12" s="68"/>
      <c r="I12" s="121" t="s">
        <v>40</v>
      </c>
      <c r="J12" s="121"/>
      <c r="K12" s="115" t="n">
        <f aca="false">COUNTIF($G$23:$G$82,"=ALG")</f>
        <v>7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 t="n">
        <v>2.3</v>
      </c>
      <c r="C13" s="119" t="n">
        <v>0.2</v>
      </c>
      <c r="D13" s="111"/>
      <c r="E13" s="111"/>
      <c r="F13" s="112" t="n">
        <f aca="false">($B13*$B$7+$C13*$C$7)/100</f>
        <v>1.985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6</v>
      </c>
      <c r="L13" s="116"/>
      <c r="M13" s="127" t="s">
        <v>43</v>
      </c>
      <c r="N13" s="128" t="n">
        <f aca="false">COUNTIF(F23:F82,"&gt;0")</f>
        <v>21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1</v>
      </c>
      <c r="L14" s="116"/>
      <c r="M14" s="131" t="s">
        <v>46</v>
      </c>
      <c r="N14" s="132" t="n">
        <f aca="false">COUNTIF($I$23:$I$82,"&gt;-1")</f>
        <v>16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/>
      <c r="C15" s="136" t="n">
        <v>0.1</v>
      </c>
      <c r="D15" s="111"/>
      <c r="E15" s="111"/>
      <c r="F15" s="112" t="n">
        <f aca="false">($B15*$B$7+$C15*$C$7)/100</f>
        <v>0.015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6</v>
      </c>
      <c r="L15" s="116"/>
      <c r="M15" s="137" t="s">
        <v>49</v>
      </c>
      <c r="N15" s="138" t="n">
        <f aca="false">COUNTIF(J23:J82,"=1")</f>
        <v>9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58</v>
      </c>
      <c r="C17" s="119" t="n">
        <v>65.8</v>
      </c>
      <c r="D17" s="111"/>
      <c r="E17" s="111"/>
      <c r="F17" s="143"/>
      <c r="G17" s="112" t="n">
        <f aca="false">($B17*$B$7+$C17*$C$7)/100</f>
        <v>59.17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/>
      <c r="C18" s="146" t="n">
        <v>0.1</v>
      </c>
      <c r="D18" s="111"/>
      <c r="E18" s="147" t="s">
        <v>55</v>
      </c>
      <c r="F18" s="143"/>
      <c r="G18" s="112" t="n">
        <f aca="false">($B18*$B$7+$C18*$C$7)/100</f>
        <v>0.015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59.185</v>
      </c>
      <c r="G19" s="156" t="n">
        <f aca="false">SUM(G16:G18)</f>
        <v>59.185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58.01</v>
      </c>
      <c r="C20" s="166" t="n">
        <f aca="false">SUM(C23:C82)</f>
        <v>65.96</v>
      </c>
      <c r="D20" s="167"/>
      <c r="E20" s="168" t="s">
        <v>55</v>
      </c>
      <c r="F20" s="169" t="n">
        <f aca="false">($B20*$B$7+$C20*$C$7)/100</f>
        <v>59.2025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49.3085</v>
      </c>
      <c r="C21" s="179" t="n">
        <f aca="false">C20*C7/100</f>
        <v>9.894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59.2025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79</v>
      </c>
      <c r="B23" s="205" t="n">
        <v>11</v>
      </c>
      <c r="C23" s="206" t="n">
        <v>7.52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10.478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10.478</v>
      </c>
      <c r="R23" s="217" t="n">
        <f aca="false">IF(OR(ISTEXT(H23),Q23=0),"",IF(Q23&lt;0.1,1,IF(Q23&lt;1,2,IF(Q23&lt;10,3,IF(Q23&lt;50,4,IF(Q23&gt;=50,5,""))))))</f>
        <v>4</v>
      </c>
      <c r="S23" s="217" t="n">
        <f aca="false">IF(ISERROR(R23*I23),0,R23*I23)</f>
        <v>24</v>
      </c>
      <c r="T23" s="217" t="n">
        <f aca="false">IF(ISERROR(R23*I23*J23),0,R23*I23*J23)</f>
        <v>24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80</v>
      </c>
      <c r="B24" s="224" t="n">
        <v>0.05</v>
      </c>
      <c r="C24" s="225" t="n">
        <v>25.75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Melosira sp.</v>
      </c>
      <c r="E24" s="226" t="e">
        <f aca="false">IF(D24="",0,VLOOKUP(D24,D$22:D23,1,0))</f>
        <v>#N/A</v>
      </c>
      <c r="F24" s="227" t="n">
        <f aca="false">($B24*$B$7+$C24*$C$7)/100</f>
        <v>3.905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Melosira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8714</v>
      </c>
      <c r="Q24" s="216" t="n">
        <f aca="false">IF(ISTEXT(H24),"",(B24*$B$7/100)+(C24*$C$7/100))</f>
        <v>3.905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30</v>
      </c>
      <c r="T24" s="217" t="n">
        <f aca="false">IF(ISERROR(R24*I24*J24),0,R24*I24*J24)</f>
        <v>30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MELSPX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81</v>
      </c>
      <c r="B25" s="224" t="n">
        <v>44.01</v>
      </c>
      <c r="C25" s="225" t="n">
        <v>11.76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39.1725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6" t="n">
        <f aca="false">IF(ISTEXT(H25),"",(B25*$B$7/100)+(C25*$C$7/100))</f>
        <v>39.1725</v>
      </c>
      <c r="R25" s="217" t="n">
        <f aca="false">IF(OR(ISTEXT(H25),Q25=0),"",IF(Q25&lt;0.1,1,IF(Q25&lt;1,2,IF(Q25&lt;10,3,IF(Q25&lt;50,4,IF(Q25&gt;=50,5,""))))))</f>
        <v>4</v>
      </c>
      <c r="S25" s="217" t="n">
        <f aca="false">IF(ISERROR(R25*I25),0,R25*I25)</f>
        <v>24</v>
      </c>
      <c r="T25" s="217" t="n">
        <f aca="false">IF(ISERROR(R25*I25*J25),0,R25*I25*J25)</f>
        <v>48</v>
      </c>
      <c r="U25" s="229" t="n">
        <f aca="false">IF(ISERROR(R25*J25),0,R25*J25)</f>
        <v>8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82</v>
      </c>
      <c r="B26" s="224" t="n">
        <v>0.1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0.085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6" t="n">
        <f aca="false">IF(ISTEXT(H26),"",(B26*$B$7/100)+(C26*$C$7/100))</f>
        <v>0.085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83</v>
      </c>
      <c r="B27" s="224" t="n">
        <v>0</v>
      </c>
      <c r="C27" s="225" t="n">
        <v>0.5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Spirogyra sp.</v>
      </c>
      <c r="E27" s="226" t="e">
        <f aca="false">IF(D27="",0,VLOOKUP(D27,D$22:D26,1,0))</f>
        <v>#N/A</v>
      </c>
      <c r="F27" s="227" t="n">
        <f aca="false">($B27*$B$7+$C27*$C$7)/100</f>
        <v>0.075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10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Spirogyra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1147</v>
      </c>
      <c r="Q27" s="216" t="n">
        <f aca="false">IF(ISTEXT(H27),"",(B27*$B$7/100)+(C27*$C$7/100))</f>
        <v>0.075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SPISPX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69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84</v>
      </c>
      <c r="B28" s="224" t="n">
        <v>0</v>
      </c>
      <c r="C28" s="225" t="n">
        <v>0.01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Tetraspora sp.</v>
      </c>
      <c r="E28" s="226" t="e">
        <f aca="false">IF(D28="",0,VLOOKUP(D28,D$22:D27,1,0))</f>
        <v>#N/A</v>
      </c>
      <c r="F28" s="227" t="n">
        <f aca="false">($B28*$B$7+$C28*$C$7)/100</f>
        <v>0.0015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12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Tetraspora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1138</v>
      </c>
      <c r="Q28" s="216" t="n">
        <f aca="false">IF(ISTEXT(H28),"",(B28*$B$7/100)+(C28*$C$7/100))</f>
        <v>0.0015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12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TETSPX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73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85</v>
      </c>
      <c r="B29" s="224" t="n">
        <v>0.54</v>
      </c>
      <c r="C29" s="225" t="n">
        <v>20.11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Vaucheria sp.</v>
      </c>
      <c r="E29" s="226" t="e">
        <f aca="false">IF(D29="",0,VLOOKUP(D29,D$22:D28,1,0))</f>
        <v>#N/A</v>
      </c>
      <c r="F29" s="227" t="n">
        <f aca="false">($B29*$B$7+$C29*$C$7)/100</f>
        <v>3.4755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4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Vaucheria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6193</v>
      </c>
      <c r="Q29" s="216" t="n">
        <f aca="false">IF(ISTEXT(H29),"",(B29*$B$7/100)+(C29*$C$7/100))</f>
        <v>3.4755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12</v>
      </c>
      <c r="T29" s="217" t="n">
        <f aca="false">IF(ISERROR(R29*I29*J29),0,R29*I29*J29)</f>
        <v>12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VAUSPX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82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86</v>
      </c>
      <c r="B30" s="224" t="n">
        <v>0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Amblystegium tenax</v>
      </c>
      <c r="E30" s="226" t="e">
        <f aca="false">IF(D30="",0,VLOOKUP(D30,D$22:D29,1,0))</f>
        <v>#N/A</v>
      </c>
      <c r="F30" s="227" t="n">
        <f aca="false">($B30*$B$7+$C30*$C$7)/100</f>
        <v>0.0015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15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Amblystegium tenax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10210</v>
      </c>
      <c r="Q30" s="216" t="n">
        <f aca="false">IF(ISTEXT(H30),"",(B30*$B$7/100)+(C30*$C$7/100))</f>
        <v>0.0015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15</v>
      </c>
      <c r="T30" s="217" t="n">
        <f aca="false">IF(ISERROR(R30*I30*J30),0,R30*I30*J30)</f>
        <v>30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AMBTEN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150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87</v>
      </c>
      <c r="B31" s="224" t="n">
        <v>0.3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Brachythecium rivulare</v>
      </c>
      <c r="E31" s="226" t="e">
        <f aca="false">IF(D31="",0,VLOOKUP(D31,D$22:D30,1,0))</f>
        <v>#N/A</v>
      </c>
      <c r="F31" s="227" t="n">
        <f aca="false">($B31*$B$7+$C31*$C$7)/100</f>
        <v>0.255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15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Brachythecium rivulare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1260</v>
      </c>
      <c r="Q31" s="216" t="n">
        <f aca="false">IF(ISTEXT(H31),"",(B31*$B$7/100)+(C31*$C$7/100))</f>
        <v>0.255</v>
      </c>
      <c r="R31" s="217" t="n">
        <f aca="false">IF(OR(ISTEXT(H31),Q31=0),"",IF(Q31&lt;0.1,1,IF(Q31&lt;1,2,IF(Q31&lt;10,3,IF(Q31&lt;50,4,IF(Q31&gt;=50,5,""))))))</f>
        <v>2</v>
      </c>
      <c r="S31" s="217" t="n">
        <f aca="false">IF(ISERROR(R31*I31),0,R31*I31)</f>
        <v>30</v>
      </c>
      <c r="T31" s="217" t="n">
        <f aca="false">IF(ISERROR(R31*I31*J31),0,R31*I31*J31)</f>
        <v>60</v>
      </c>
      <c r="U31" s="229" t="n">
        <f aca="false">IF(ISERROR(R31*J31),0,R31*J31)</f>
        <v>4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BRARIV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155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16</v>
      </c>
      <c r="B32" s="224" t="n">
        <v>1.5</v>
      </c>
      <c r="C32" s="225" t="n">
        <v>0.1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Cinclidotus riparius</v>
      </c>
      <c r="E32" s="226" t="e">
        <f aca="false">IF(D32="",0,VLOOKUP(D32,D$22:D31,1,0))</f>
        <v>#N/A</v>
      </c>
      <c r="F32" s="227" t="n">
        <f aca="false">($B32*$B$7+$C32*$C$7)/100</f>
        <v>1.29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13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Cinclidotus riparius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1321</v>
      </c>
      <c r="Q32" s="216" t="n">
        <f aca="false">IF(ISTEXT(H32),"",(B32*$B$7/100)+(C32*$C$7/100))</f>
        <v>1.29</v>
      </c>
      <c r="R32" s="217" t="n">
        <f aca="false">IF(OR(ISTEXT(H32),Q32=0),"",IF(Q32&lt;0.1,1,IF(Q32&lt;1,2,IF(Q32&lt;10,3,IF(Q32&lt;50,4,IF(Q32&gt;=50,5,""))))))</f>
        <v>3</v>
      </c>
      <c r="S32" s="217" t="n">
        <f aca="false">IF(ISERROR(R32*I32),0,R32*I32)</f>
        <v>39</v>
      </c>
      <c r="T32" s="217" t="n">
        <f aca="false">IF(ISERROR(R32*I32*J32),0,R32*I32*J32)</f>
        <v>78</v>
      </c>
      <c r="U32" s="229" t="n">
        <f aca="false">IF(ISERROR(R32*J32),0,R32*J32)</f>
        <v>6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CINRIP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174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Fissidens crassipes</v>
      </c>
      <c r="E33" s="226" t="e">
        <f aca="false">IF(D33="",0,VLOOKUP(D33,D$22:D32,1,0))</f>
        <v>#N/A</v>
      </c>
      <c r="F33" s="227" t="n">
        <f aca="false">($B33*$B$7+$C33*$C$7)/100</f>
        <v>0.0015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Fissidens crassipes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1294</v>
      </c>
      <c r="Q33" s="216" t="n">
        <f aca="false">IF(ISTEXT(H33),"",(B33*$B$7/100)+(C33*$C$7/100))</f>
        <v>0.0015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12</v>
      </c>
      <c r="T33" s="217" t="n">
        <f aca="false">IF(ISERROR(R33*I33*J33),0,R33*I33*J33)</f>
        <v>24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FISCRA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197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89</v>
      </c>
      <c r="B34" s="224" t="n">
        <v>0.01</v>
      </c>
      <c r="C34" s="225" t="n">
        <v>0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Fontinalis antipyretica</v>
      </c>
      <c r="E34" s="226" t="e">
        <f aca="false">IF(D34="",0,VLOOKUP(D34,D$22:D33,1,0))</f>
        <v>#N/A</v>
      </c>
      <c r="F34" s="231" t="n">
        <f aca="false">($B34*$B$7+$C34*$C$7)/100</f>
        <v>0.0085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Fontinalis antipyretica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1310</v>
      </c>
      <c r="Q34" s="216" t="n">
        <f aca="false">IF(ISTEXT(H34),"",(B34*$B$7/100)+(C34*$C$7/100))</f>
        <v>0.0085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10</v>
      </c>
      <c r="T34" s="217" t="n">
        <f aca="false">IF(ISERROR(R34*I34*J34),0,R34*I34*J34)</f>
        <v>10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FONANT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210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90</v>
      </c>
      <c r="B35" s="224" t="n">
        <v>0.5</v>
      </c>
      <c r="C35" s="225" t="n">
        <v>0.1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Rhynchostegium riparioides</v>
      </c>
      <c r="E35" s="226" t="e">
        <f aca="false">IF(D35="",0,VLOOKUP(D35,D$22:D34,1,0))</f>
        <v>#N/A</v>
      </c>
      <c r="F35" s="231" t="n">
        <f aca="false">($B35*$B$7+$C35*$C$7)/100</f>
        <v>0.44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12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Rhynchostegium riparioides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1268</v>
      </c>
      <c r="Q35" s="216" t="n">
        <f aca="false">IF(ISTEXT(H35),"",(B35*$B$7/100)+(C35*$C$7/100))</f>
        <v>0.44</v>
      </c>
      <c r="R35" s="217" t="n">
        <f aca="false">IF(OR(ISTEXT(H35),Q35=0),"",IF(Q35&lt;0.1,1,IF(Q35&lt;1,2,IF(Q35&lt;10,3,IF(Q35&lt;50,4,IF(Q35&gt;=50,5,""))))))</f>
        <v>2</v>
      </c>
      <c r="S35" s="217" t="n">
        <f aca="false">IF(ISERROR(R35*I35),0,R35*I35)</f>
        <v>24</v>
      </c>
      <c r="T35" s="217" t="n">
        <f aca="false">IF(ISERROR(R35*I35*J35),0,R35*I35*J35)</f>
        <v>24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RHYRIP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252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91</v>
      </c>
      <c r="B36" s="224" t="n">
        <v>0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Equisetum sp.</v>
      </c>
      <c r="E36" s="226" t="e">
        <f aca="false">IF(D36="",0,VLOOKUP(D36,D$22:D35,1,0))</f>
        <v>#N/A</v>
      </c>
      <c r="F36" s="231" t="n">
        <f aca="false">($B36*$B$7+$C36*$C$7)/100</f>
        <v>0.0015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PTE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6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Equisetum sp.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1383</v>
      </c>
      <c r="Q36" s="216" t="n">
        <f aca="false">IF(ISTEXT(H36),"",(B36*$B$7/100)+(C36*$C$7/100))</f>
        <v>0.0015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EQUSPX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283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92</v>
      </c>
      <c r="B37" s="224" t="n">
        <v>0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Agrostis stolonifera</v>
      </c>
      <c r="E37" s="226" t="e">
        <f aca="false">IF(D37="",0,VLOOKUP(D37,D$22:D36,1,0))</f>
        <v>#N/A</v>
      </c>
      <c r="F37" s="231" t="n">
        <f aca="false">($B37*$B$7+$C37*$C$7)/100</f>
        <v>0.0015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10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1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Agrostis stolonifera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1543</v>
      </c>
      <c r="Q37" s="216" t="n">
        <f aca="false">IF(ISTEXT(H37),"",(B37*$B$7/100)+(C37*$C$7/100))</f>
        <v>0.0015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10</v>
      </c>
      <c r="T37" s="217" t="n">
        <f aca="false">IF(ISERROR(R37*I37*J37),0,R37*I37*J37)</f>
        <v>10</v>
      </c>
      <c r="U37" s="229" t="n">
        <f aca="false">IF(ISERROR(R37*J37),0,R37*J37)</f>
        <v>1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AGRSTO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514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93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Mentha longifolia</v>
      </c>
      <c r="E38" s="226" t="e">
        <f aca="false">IF(D38="",0,VLOOKUP(D38,D$22:D37,1,0))</f>
        <v>#N/A</v>
      </c>
      <c r="F38" s="231" t="n">
        <f aca="false">($B38*$B$7+$C38*$C$7)/100</f>
        <v>0.0015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Mentha longifolia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19856</v>
      </c>
      <c r="Q38" s="216" t="n">
        <f aca="false">IF(ISTEXT(H38),"",(B38*$B$7/100)+(C38*$C$7/100))</f>
        <v>0.0015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MENLON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609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94</v>
      </c>
      <c r="B39" s="224" t="n">
        <v>0</v>
      </c>
      <c r="C39" s="225" t="n">
        <v>0.01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Phalaris arundinacea</v>
      </c>
      <c r="E39" s="226" t="e">
        <f aca="false">IF(D39="",0,VLOOKUP(D39,D$22:D38,1,0))</f>
        <v>#N/A</v>
      </c>
      <c r="F39" s="231" t="n">
        <f aca="false">($B39*$B$7+$C39*$C$7)/100</f>
        <v>0.0015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PHe</v>
      </c>
      <c r="H39" s="210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8</v>
      </c>
      <c r="I39" s="211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10</v>
      </c>
      <c r="J39" s="211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1</v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Phalaris arundinacea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1577</v>
      </c>
      <c r="Q39" s="216" t="n">
        <f aca="false">IF(ISTEXT(H39),"",(B39*$B$7/100)+(C39*$C$7/100))</f>
        <v>0.0015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10</v>
      </c>
      <c r="T39" s="217" t="n">
        <f aca="false">IF(ISERROR(R39*I39*J39),0,R39*I39*J39)</f>
        <v>10</v>
      </c>
      <c r="U39" s="229" t="n">
        <f aca="false">IF(ISERROR(R39*J39),0,R39*J39)</f>
        <v>1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PHAARU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634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95</v>
      </c>
      <c r="B40" s="224" t="n">
        <v>0</v>
      </c>
      <c r="C40" s="225" t="n">
        <v>0.01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Veronica anagallis-aquatica</v>
      </c>
      <c r="E40" s="226" t="e">
        <f aca="false">IF(D40="",0,VLOOKUP(D40,D$22:D39,1,0))</f>
        <v>#N/A</v>
      </c>
      <c r="F40" s="231" t="n">
        <f aca="false">($B40*$B$7+$C40*$C$7)/100</f>
        <v>0.0015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10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8</v>
      </c>
      <c r="I40" s="211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11</v>
      </c>
      <c r="J40" s="211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2</v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Veronica anagallis-aquatica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1955</v>
      </c>
      <c r="Q40" s="216" t="n">
        <f aca="false">IF(ISTEXT(H40),"",(B40*$B$7/100)+(C40*$C$7/100))</f>
        <v>0.0015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11</v>
      </c>
      <c r="T40" s="217" t="n">
        <f aca="false">IF(ISERROR(R40*I40*J40),0,R40*I40*J40)</f>
        <v>22</v>
      </c>
      <c r="U40" s="229" t="n">
        <f aca="false">IF(ISERROR(R40*J40),0,R40*J40)</f>
        <v>2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VERANA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682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96</v>
      </c>
      <c r="B41" s="224" t="n">
        <v>0</v>
      </c>
      <c r="C41" s="225" t="n">
        <v>0.01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Deschampsia cespitosa</v>
      </c>
      <c r="E41" s="226" t="e">
        <f aca="false">IF(D41="",0,VLOOKUP(D41,D$22:D40,1,0))</f>
        <v>#N/A</v>
      </c>
      <c r="F41" s="231" t="n">
        <f aca="false">($B41*$B$7+$C41*$C$7)/100</f>
        <v>0.0015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PHg</v>
      </c>
      <c r="H41" s="210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9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Deschampsia cespitosa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1557</v>
      </c>
      <c r="Q41" s="216" t="n">
        <f aca="false">IF(ISTEXT(H41),"",(B41*$B$7/100)+(C41*$C$7/100))</f>
        <v>0.0015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DESCES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727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97</v>
      </c>
      <c r="B42" s="224" t="n">
        <v>0</v>
      </c>
      <c r="C42" s="225" t="n">
        <v>0.01</v>
      </c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Rorippa islandica</v>
      </c>
      <c r="E42" s="226" t="e">
        <f aca="false">IF(D42="",0,VLOOKUP(D42,D$22:D41,1,0))</f>
        <v>#N/A</v>
      </c>
      <c r="F42" s="231" t="n">
        <f aca="false">($B42*$B$7+$C42*$C$7)/100</f>
        <v>0.0015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PHg</v>
      </c>
      <c r="H42" s="210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9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Rorippa islandica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1766</v>
      </c>
      <c r="Q42" s="216" t="n">
        <f aca="false">IF(ISTEXT(H42),"",(B42*$B$7/100)+(C42*$C$7/100))</f>
        <v>0.0015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>RORISL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808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98</v>
      </c>
      <c r="B43" s="224" t="n">
        <v>0</v>
      </c>
      <c r="C43" s="225" t="n">
        <v>0.02</v>
      </c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0.003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    -</v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Encyonema</v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No</v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>newcod</v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 t="s">
        <v>99</v>
      </c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FIER</v>
      </c>
      <c r="B84" s="259" t="str">
        <f aca="false">C3</f>
        <v>FIER A MOTZ</v>
      </c>
      <c r="C84" s="260" t="n">
        <f aca="false">A4</f>
        <v>41472</v>
      </c>
      <c r="D84" s="261" t="n">
        <f aca="false">IF(ISERROR(SUM($T$23:$T$82)/SUM($U$23:$U$82)),"",SUM($T$23:$T$82)/SUM($U$23:$U$82))</f>
        <v>10</v>
      </c>
      <c r="E84" s="262" t="n">
        <f aca="false">N13</f>
        <v>21</v>
      </c>
      <c r="F84" s="259" t="n">
        <f aca="false">N14</f>
        <v>16</v>
      </c>
      <c r="G84" s="259" t="n">
        <f aca="false">N15</f>
        <v>9</v>
      </c>
      <c r="H84" s="259" t="n">
        <f aca="false">N16</f>
        <v>7</v>
      </c>
      <c r="I84" s="259" t="n">
        <f aca="false">N17</f>
        <v>0</v>
      </c>
      <c r="J84" s="263" t="n">
        <f aca="false">N8</f>
        <v>10.5625</v>
      </c>
      <c r="K84" s="261" t="n">
        <f aca="false">N9</f>
        <v>2.99934888767546</v>
      </c>
      <c r="L84" s="262" t="n">
        <f aca="false">N10</f>
        <v>4</v>
      </c>
      <c r="M84" s="262" t="n">
        <f aca="false">N11</f>
        <v>15</v>
      </c>
      <c r="N84" s="261" t="n">
        <f aca="false">O8</f>
        <v>1.4375</v>
      </c>
      <c r="O84" s="261" t="n">
        <f aca="false">O9</f>
        <v>0.496078370824611</v>
      </c>
      <c r="P84" s="262" t="n">
        <f aca="false">O10</f>
        <v>1</v>
      </c>
      <c r="Q84" s="262" t="n">
        <f aca="false">O11</f>
        <v>2</v>
      </c>
      <c r="R84" s="262" t="n">
        <f aca="false">F21</f>
        <v>59.2025</v>
      </c>
      <c r="S84" s="262" t="n">
        <f aca="false">K11</f>
        <v>0</v>
      </c>
      <c r="T84" s="262" t="n">
        <f aca="false">K12</f>
        <v>7</v>
      </c>
      <c r="U84" s="262" t="n">
        <f aca="false">K13</f>
        <v>6</v>
      </c>
      <c r="V84" s="264" t="n">
        <f aca="false">K14</f>
        <v>1</v>
      </c>
      <c r="W84" s="265" t="n">
        <f aca="false">K15</f>
        <v>6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102</v>
      </c>
      <c r="R87" s="10"/>
      <c r="S87" s="218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103</v>
      </c>
      <c r="R88" s="10"/>
      <c r="S88" s="218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104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105</v>
      </c>
      <c r="R90" s="10"/>
      <c r="S90" s="268" t="n">
        <f aca="false">IF(ISERROR(SUM($T$23:$T$82)/SUM($U$23:$U$82)),"",(SUM($T$23:$T$82)-S88)/(SUM($U$23:$U$82)-S89))</f>
        <v>9.51351351351351</v>
      </c>
      <c r="T90" s="10"/>
    </row>
    <row r="91" customFormat="false" ht="12.75" hidden="false" customHeight="false" outlineLevel="0" collapsed="false">
      <c r="Q91" s="217" t="s">
        <v>106</v>
      </c>
      <c r="R91" s="217"/>
      <c r="S91" s="217" t="str">
        <f aca="false">INDEX('[1]liste reference'!$A$8:$A$904,$T$91)</f>
        <v>CINRIP</v>
      </c>
      <c r="T91" s="10" t="n">
        <f aca="false">IF(ISERROR(MATCH($S$93,'[1]liste reference'!$A$8:$A$904,0)),MATCH($S$93,'[1]liste reference'!$B$8:$B$904,0),(MATCH($S$93,'[1]liste reference'!$A$8:$A$904,0)))</f>
        <v>174</v>
      </c>
      <c r="U91" s="257"/>
    </row>
    <row r="92" customFormat="false" ht="12.75" hidden="false" customHeight="false" outlineLevel="0" collapsed="false">
      <c r="Q92" s="10" t="s">
        <v>107</v>
      </c>
      <c r="R92" s="10"/>
      <c r="S92" s="10" t="n">
        <f aca="false">MATCH(S87,$S$23:$S$82,0)</f>
        <v>10</v>
      </c>
      <c r="T92" s="10"/>
    </row>
    <row r="93" customFormat="false" ht="12.75" hidden="false" customHeight="false" outlineLevel="0" collapsed="false">
      <c r="Q93" s="217" t="s">
        <v>108</v>
      </c>
      <c r="R93" s="10"/>
      <c r="S93" s="217" t="str">
        <f aca="false">INDEX($A$23:$A$82,$S$92)</f>
        <v>CINRIP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2013-12-17T09:53:57Z</dcterms:created>
  <dc:creator>li</dc:creator>
  <dc:description/>
  <dc:language>fr-FR</dc:language>
  <cp:lastModifiedBy>li</cp:lastModifiedBy>
  <dcterms:modified xsi:type="dcterms:W3CDTF">2013-12-17T09:53:59Z</dcterms:modified>
  <cp:revision>0</cp:revision>
  <dc:subject/>
  <dc:title/>
</cp:coreProperties>
</file>