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<sst xmlns="http://schemas.openxmlformats.org/spreadsheetml/2006/main" count="97" uniqueCount="93">
  <si>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</si>
  <si>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</si>
  <si>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</si>
  <si>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LISEBE</t>
  </si>
  <si>
    <t xml:space="preserve">conforme AFNOR T90-395 oct. 2003</t>
  </si>
  <si>
    <t xml:space="preserve">RHONE</t>
  </si>
  <si>
    <t xml:space="preserve">RHONE A CULOZ</t>
  </si>
  <si>
    <t xml:space="preserve">06072300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</si>
  <si>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</si>
  <si>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</si>
  <si>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</si>
  <si>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</si>
  <si>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</si>
  <si>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</si>
  <si>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</si>
  <si>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</si>
  <si>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</si>
  <si>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</si>
  <si>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ch. lotique</t>
  </si>
  <si>
    <t xml:space="preserve">ch.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</si>
  <si>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</si>
  <si>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</si>
  <si>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</si>
  <si>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</si>
  <si>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</si>
  <si>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</si>
  <si>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</si>
  <si>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</si>
  <si>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</si>
  <si>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</si>
  <si>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</si>
  <si>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</si>
  <si>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</si>
  <si>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</si>
  <si>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</si>
  <si>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</si>
  <si>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</si>
  <si>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</si>
  <si>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</si>
  <si>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</si>
  <si>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</si>
  <si>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</si>
  <si>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</si>
  <si>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</si>
  <si>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</si>
  <si>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</si>
  <si>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</si>
  <si>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</si>
  <si>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</si>
  <si>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</si>
  <si>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</si>
  <si>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</si>
  <si>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</si>
  <si>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</si>
  <si>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</si>
  <si>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</si>
  <si>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</si>
  <si>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</si>
  <si>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</si>
  <si>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</si>
  <si>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</si>
  <si>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</si>
  <si>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</si>
  <si>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</si>
  <si>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</si>
  <si>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</si>
  <si>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</si>
  <si>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</si>
  <si>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</si>
  <si>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</si>
  <si>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</si>
  <si>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</si>
  <si>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</si>
  <si>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</si>
  <si>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</si>
  <si>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</si>
  <si>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</si>
  <si>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</si>
  <si>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RHISPX</t>
  </si>
  <si>
    <t xml:space="preserve">SPISPX</t>
  </si>
  <si>
    <t xml:space="preserve">VAUSPX</t>
  </si>
  <si>
    <t xml:space="preserve">CALPLA</t>
  </si>
  <si>
    <t xml:space="preserve">POTPEC</t>
  </si>
  <si>
    <t xml:space="preserve">PHRAUS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</si>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</sst>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RHOCU_05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41522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7.08333333333333</v>
      </c>
      <c r="M5" s="53"/>
      <c r="N5" s="54" t="s">
        <v>16</v>
      </c>
      <c r="O5" s="55" t="n">
        <v>5.11111111111111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42</v>
      </c>
      <c r="C7" s="67" t="n">
        <v>58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7.25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2.85</v>
      </c>
      <c r="C9" s="87" t="n">
        <v>21.03</v>
      </c>
      <c r="D9" s="88"/>
      <c r="E9" s="88"/>
      <c r="F9" s="89" t="n">
        <f aca="false">($B9*$B$7+$C9*$C$7)/100</f>
        <v>13.3944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3.56195171219375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0.71</v>
      </c>
      <c r="C12" s="119" t="n">
        <v>15.13</v>
      </c>
      <c r="D12" s="111"/>
      <c r="E12" s="111"/>
      <c r="F12" s="112" t="n">
        <f aca="false">($B12*$B$7+$C12*$C$7)/100</f>
        <v>9.0736</v>
      </c>
      <c r="G12" s="120"/>
      <c r="H12" s="68"/>
      <c r="I12" s="121" t="s">
        <v>38</v>
      </c>
      <c r="J12" s="121"/>
      <c r="K12" s="115" t="n">
        <f aca="false">COUNTIF($G$23:$G$82,"=ALG")</f>
        <v>5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0</v>
      </c>
      <c r="L13" s="116"/>
      <c r="M13" s="127" t="s">
        <v>41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 t="n">
        <v>2.14</v>
      </c>
      <c r="C15" s="136" t="n">
        <v>5.9</v>
      </c>
      <c r="D15" s="111"/>
      <c r="E15" s="111"/>
      <c r="F15" s="112" t="n">
        <f aca="false">($B15*$B$7+$C15*$C$7)/100</f>
        <v>4.3208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0.71</v>
      </c>
      <c r="C17" s="119" t="n">
        <v>15.13</v>
      </c>
      <c r="D17" s="111"/>
      <c r="E17" s="111"/>
      <c r="F17" s="143"/>
      <c r="G17" s="112" t="n">
        <f aca="false">($B17*$B$7+$C17*$C$7)/100</f>
        <v>9.0736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 t="n">
        <v>2.14</v>
      </c>
      <c r="C18" s="146" t="n">
        <v>5.9</v>
      </c>
      <c r="D18" s="111"/>
      <c r="E18" s="147" t="s">
        <v>53</v>
      </c>
      <c r="F18" s="143"/>
      <c r="G18" s="112" t="n">
        <f aca="false">($B18*$B$7+$C18*$C$7)/100</f>
        <v>4.3208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13.3944</v>
      </c>
      <c r="G19" s="156" t="n">
        <f aca="false">SUM(G16:G18)</f>
        <v>13.3944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2.85714285714286</v>
      </c>
      <c r="C20" s="166" t="n">
        <f aca="false">SUM(C23:C82)</f>
        <v>21.025641025641</v>
      </c>
      <c r="D20" s="167"/>
      <c r="E20" s="168" t="s">
        <v>53</v>
      </c>
      <c r="F20" s="169" t="n">
        <f aca="false">($B20*$B$7+$C20*$C$7)/100</f>
        <v>13.3948717948718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1.2</v>
      </c>
      <c r="C21" s="179" t="n">
        <f aca="false">C20*C7/100</f>
        <v>12.1948717948718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13.3948717948718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</v>
      </c>
      <c r="C23" s="206" t="n">
        <v>0.641025641025641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0.371794871794872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0.371794871794872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12</v>
      </c>
      <c r="T23" s="217" t="n">
        <f aca="false">IF(ISERROR(R23*I23*J23),0,R23*I23*J23)</f>
        <v>12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16</v>
      </c>
      <c r="B24" s="224" t="n">
        <v>0.178571428571429</v>
      </c>
      <c r="C24" s="225" t="n">
        <v>9.87179487179487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Phormidium sp.</v>
      </c>
      <c r="E24" s="226" t="e">
        <f aca="false">IF(D24="",0,VLOOKUP(D24,D$22:D23,1,0))</f>
        <v>#N/A</v>
      </c>
      <c r="F24" s="227" t="n">
        <f aca="false">($B24*$B$7+$C24*$C$7)/100</f>
        <v>5.80064102564103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13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Phormidium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6414</v>
      </c>
      <c r="Q24" s="216" t="n">
        <f aca="false">IF(ISTEXT(H24),"",(B24*$B$7/100)+(C24*$C$7/100))</f>
        <v>5.80064102564103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39</v>
      </c>
      <c r="T24" s="217" t="n">
        <f aca="false">IF(ISERROR(R24*I24*J24),0,R24*I24*J24)</f>
        <v>78</v>
      </c>
      <c r="U24" s="229" t="n">
        <f aca="false">IF(ISERROR(R24*J24),0,R24*J24)</f>
        <v>6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PHOSPX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57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78</v>
      </c>
      <c r="B25" s="224" t="n">
        <v>0.178571428571429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Rhizoclonium sp.</v>
      </c>
      <c r="E25" s="226" t="e">
        <f aca="false">IF(D25="",0,VLOOKUP(D25,D$22:D24,1,0))</f>
        <v>#N/A</v>
      </c>
      <c r="F25" s="227" t="n">
        <f aca="false">($B25*$B$7+$C25*$C$7)/100</f>
        <v>0.075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4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Rhizoclonium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1125</v>
      </c>
      <c r="Q25" s="216" t="n">
        <f aca="false">IF(ISTEXT(H25),"",(B25*$B$7/100)+(C25*$C$7/100))</f>
        <v>0.075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4</v>
      </c>
      <c r="T25" s="217" t="n">
        <f aca="false">IF(ISERROR(R25*I25*J25),0,R25*I25*J25)</f>
        <v>8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RHISPX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62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79</v>
      </c>
      <c r="B26" s="224" t="n">
        <v>0.178571428571429</v>
      </c>
      <c r="C26" s="225" t="n">
        <v>0.769230769230769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Spirogyra sp.</v>
      </c>
      <c r="E26" s="226" t="e">
        <f aca="false">IF(D26="",0,VLOOKUP(D26,D$22:D25,1,0))</f>
        <v>#N/A</v>
      </c>
      <c r="F26" s="227" t="n">
        <f aca="false">($B26*$B$7+$C26*$C$7)/100</f>
        <v>0.521153846153846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10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Spirogyra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1147</v>
      </c>
      <c r="Q26" s="216" t="n">
        <f aca="false">IF(ISTEXT(H26),"",(B26*$B$7/100)+(C26*$C$7/100))</f>
        <v>0.521153846153846</v>
      </c>
      <c r="R26" s="217" t="n">
        <f aca="false">IF(OR(ISTEXT(H26),Q26=0),"",IF(Q26&lt;0.1,1,IF(Q26&lt;1,2,IF(Q26&lt;10,3,IF(Q26&lt;50,4,IF(Q26&gt;=50,5,""))))))</f>
        <v>2</v>
      </c>
      <c r="S26" s="217" t="n">
        <f aca="false">IF(ISERROR(R26*I26),0,R26*I26)</f>
        <v>20</v>
      </c>
      <c r="T26" s="217" t="n">
        <f aca="false">IF(ISERROR(R26*I26*J26),0,R26*I26*J26)</f>
        <v>20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SPISPX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69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80</v>
      </c>
      <c r="B27" s="224" t="n">
        <v>0.178571428571429</v>
      </c>
      <c r="C27" s="225" t="n">
        <v>3.84615384615385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6" t="e">
        <f aca="false">IF(D27="",0,VLOOKUP(D27,D$22:D26,1,0))</f>
        <v>#N/A</v>
      </c>
      <c r="F27" s="227" t="n">
        <f aca="false">($B27*$B$7+$C27*$C$7)/100</f>
        <v>2.30576923076923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6" t="n">
        <f aca="false">IF(ISTEXT(H27),"",(B27*$B$7/100)+(C27*$C$7/100))</f>
        <v>2.30576923076923</v>
      </c>
      <c r="R27" s="217" t="n">
        <f aca="false">IF(OR(ISTEXT(H27),Q27=0),"",IF(Q27&lt;0.1,1,IF(Q27&lt;1,2,IF(Q27&lt;10,3,IF(Q27&lt;50,4,IF(Q27&gt;=50,5,""))))))</f>
        <v>3</v>
      </c>
      <c r="S27" s="217" t="n">
        <f aca="false">IF(ISERROR(R27*I27),0,R27*I27)</f>
        <v>12</v>
      </c>
      <c r="T27" s="217" t="n">
        <f aca="false">IF(ISERROR(R27*I27*J27),0,R27*I27*J27)</f>
        <v>12</v>
      </c>
      <c r="U27" s="229" t="n">
        <f aca="false">IF(ISERROR(R27*J27),0,R27*J27)</f>
        <v>3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81</v>
      </c>
      <c r="B28" s="224" t="n">
        <v>0</v>
      </c>
      <c r="C28" s="225" t="n">
        <v>0.128205128205128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Callitriche platycarpa</v>
      </c>
      <c r="E28" s="226" t="e">
        <f aca="false">IF(D28="",0,VLOOKUP(D28,D$22:D27,1,0))</f>
        <v>#N/A</v>
      </c>
      <c r="F28" s="227" t="n">
        <f aca="false">($B28*$B$7+$C28*$C$7)/100</f>
        <v>0.0743589743589744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PHy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7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Callitriche platycarpa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1702</v>
      </c>
      <c r="Q28" s="216" t="n">
        <f aca="false">IF(ISTEXT(H28),"",(B28*$B$7/100)+(C28*$C$7/100))</f>
        <v>0.0743589743589744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10</v>
      </c>
      <c r="T28" s="217" t="n">
        <f aca="false">IF(ISERROR(R28*I28*J28),0,R28*I28*J28)</f>
        <v>10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CALPLA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322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82</v>
      </c>
      <c r="B29" s="224" t="n">
        <v>2.14285714285714</v>
      </c>
      <c r="C29" s="225" t="n">
        <v>5.64102564102564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Potamogeton pectinatus</v>
      </c>
      <c r="E29" s="226" t="e">
        <f aca="false">IF(D29="",0,VLOOKUP(D29,D$22:D28,1,0))</f>
        <v>#N/A</v>
      </c>
      <c r="F29" s="227" t="n">
        <f aca="false">($B29*$B$7+$C29*$C$7)/100</f>
        <v>4.17179487179487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PHy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7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2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Potamogeton pectinatus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1655</v>
      </c>
      <c r="Q29" s="216" t="n">
        <f aca="false">IF(ISTEXT(H29),"",(B29*$B$7/100)+(C29*$C$7/100))</f>
        <v>4.17179487179487</v>
      </c>
      <c r="R29" s="217" t="n">
        <f aca="false">IF(OR(ISTEXT(H29),Q29=0),"",IF(Q29&lt;0.1,1,IF(Q29&lt;1,2,IF(Q29&lt;10,3,IF(Q29&lt;50,4,IF(Q29&gt;=50,5,""))))))</f>
        <v>3</v>
      </c>
      <c r="S29" s="217" t="n">
        <f aca="false">IF(ISERROR(R29*I29),0,R29*I29)</f>
        <v>6</v>
      </c>
      <c r="T29" s="217" t="n">
        <f aca="false">IF(ISERROR(R29*I29*J29),0,R29*I29*J29)</f>
        <v>12</v>
      </c>
      <c r="U29" s="229" t="n">
        <f aca="false">IF(ISERROR(R29*J29),0,R29*J29)</f>
        <v>6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POTPEC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421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83</v>
      </c>
      <c r="B30" s="224" t="n">
        <v>0</v>
      </c>
      <c r="C30" s="225" t="n">
        <v>0.128205128205128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Phragmites australis</v>
      </c>
      <c r="E30" s="226" t="e">
        <f aca="false">IF(D30="",0,VLOOKUP(D30,D$22:D29,1,0))</f>
        <v>#N/A</v>
      </c>
      <c r="F30" s="227" t="n">
        <f aca="false">($B30*$B$7+$C30*$C$7)/100</f>
        <v>0.0743589743589744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PHe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8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9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Phragmites australis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1579</v>
      </c>
      <c r="Q30" s="216" t="n">
        <f aca="false">IF(ISTEXT(H30),"",(B30*$B$7/100)+(C30*$C$7/100))</f>
        <v>0.0743589743589744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9</v>
      </c>
      <c r="T30" s="217" t="n">
        <f aca="false">IF(ISERROR(R30*I30*J30),0,R30*I30*J30)</f>
        <v>18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PHRAUS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635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10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RHONE</v>
      </c>
      <c r="B84" s="259" t="str">
        <f aca="false">C3</f>
        <v>RHONE A CULOZ</v>
      </c>
      <c r="C84" s="260" t="n">
        <f aca="false">A4</f>
        <v>41522</v>
      </c>
      <c r="D84" s="261" t="n">
        <f aca="false">IF(ISERROR(SUM($T$23:$T$82)/SUM($U$23:$U$82)),"",SUM($T$23:$T$82)/SUM($U$23:$U$82))</f>
        <v>7.08333333333333</v>
      </c>
      <c r="E84" s="262" t="n">
        <f aca="false">N13</f>
        <v>8</v>
      </c>
      <c r="F84" s="259" t="n">
        <f aca="false">N14</f>
        <v>8</v>
      </c>
      <c r="G84" s="259" t="n">
        <f aca="false">N15</f>
        <v>4</v>
      </c>
      <c r="H84" s="259" t="n">
        <f aca="false">N16</f>
        <v>4</v>
      </c>
      <c r="I84" s="259" t="n">
        <f aca="false">N17</f>
        <v>0</v>
      </c>
      <c r="J84" s="263" t="n">
        <f aca="false">N8</f>
        <v>7.25</v>
      </c>
      <c r="K84" s="261" t="n">
        <f aca="false">N9</f>
        <v>3.56195171219375</v>
      </c>
      <c r="L84" s="262" t="n">
        <f aca="false">N10</f>
        <v>2</v>
      </c>
      <c r="M84" s="262" t="n">
        <f aca="false">N11</f>
        <v>13</v>
      </c>
      <c r="N84" s="261" t="n">
        <f aca="false">O8</f>
        <v>1.5</v>
      </c>
      <c r="O84" s="261" t="n">
        <f aca="false">O9</f>
        <v>0.5</v>
      </c>
      <c r="P84" s="262" t="n">
        <f aca="false">O10</f>
        <v>1</v>
      </c>
      <c r="Q84" s="262" t="n">
        <f aca="false">O11</f>
        <v>2</v>
      </c>
      <c r="R84" s="262" t="n">
        <f aca="false">F21</f>
        <v>13.3948717948718</v>
      </c>
      <c r="S84" s="262" t="n">
        <f aca="false">K11</f>
        <v>0</v>
      </c>
      <c r="T84" s="262" t="n">
        <f aca="false">K12</f>
        <v>5</v>
      </c>
      <c r="U84" s="262" t="n">
        <f aca="false">K13</f>
        <v>0</v>
      </c>
      <c r="V84" s="264" t="n">
        <f aca="false">K14</f>
        <v>0</v>
      </c>
      <c r="W84" s="265" t="n">
        <f aca="false">K15</f>
        <v>3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85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8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8" t="n">
        <f aca="false">VLOOKUP((S87),($S$23:$U$82),2,0)</f>
        <v>78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8" t="n">
        <f aca="false">IF(ISERROR(SUM($T$23:$T$82)/SUM($U$23:$U$82)),"",(SUM($T$23:$T$82)-S88)/(SUM($U$23:$U$82)-S89))</f>
        <v>5.11111111111111</v>
      </c>
      <c r="T90" s="10"/>
    </row>
    <row r="91" customFormat="false" ht="12.75" hidden="false" customHeight="false" outlineLevel="0" collapsed="false">
      <c r="Q91" s="217" t="s">
        <v>90</v>
      </c>
      <c r="R91" s="217"/>
      <c r="S91" s="217" t="str">
        <f aca="false">INDEX('[1]liste reference'!$A$8:$A$904,$T$91)</f>
        <v>PHOSPX</v>
      </c>
      <c r="T91" s="10" t="n">
        <f aca="false">IF(ISERROR(MATCH($S$93,'[1]liste reference'!$A$8:$A$904,0)),MATCH($S$93,'[1]liste reference'!$B$8:$B$904,0),(MATCH($S$93,'[1]liste reference'!$A$8:$A$904,0)))</f>
        <v>57</v>
      </c>
      <c r="U91" s="257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92</v>
      </c>
      <c r="R93" s="10"/>
      <c r="S93" s="217" t="str">
        <f aca="false">INDEX($A$23:$A$82,$S$92)</f>
        <v>PHOSPX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2014-02-05T18:41:06Z</dcterms:created>
  <dc:creator>Laurent Bourgoin</dc:creator>
  <dc:description/>
  <dc:language>fr-FR</dc:language>
  <cp:lastModifiedBy>Laurent Bourgoin</cp:lastModifiedBy>
  <dcterms:modified xsi:type="dcterms:W3CDTF">2014-02-05T18:41:16Z</dcterms:modified>
  <cp:revision>0</cp:revision>
  <dc:subject/>
  <dc:title/>
</cp:coreProperties>
</file>