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'[1]'!$H$1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name="_xlfn_IFERROR" vbProcedure="false"/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<sst xmlns="http://schemas.openxmlformats.org/spreadsheetml/2006/main" count="111" uniqueCount="103">
  <si>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</si>
  <si>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</si>
  <si>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</si>
  <si>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LBOURGOIN CBERNARD</t>
  </si>
  <si>
    <t xml:space="preserve">conforme AFNOR T90-395 oct. 2003</t>
  </si>
  <si>
    <t xml:space="preserve">FURAN</t>
  </si>
  <si>
    <t xml:space="preserve">Furans à La Burbanche</t>
  </si>
  <si>
    <t xml:space="preserve">06076720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</si>
  <si>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</si>
  <si>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</si>
  <si>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</si>
  <si>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</si>
  <si>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</si>
  <si>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</si>
  <si>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</si>
  <si>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</si>
  <si>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CINAQU</t>
  </si>
  <si>
    <t xml:space="preserve">Faciès dominant</t>
  </si>
  <si>
    <t xml:space="preserve">radier</t>
  </si>
  <si>
    <t xml:space="preserve">pl. lent</t>
  </si>
  <si>
    <t xml:space="preserve">niv. trophique:</t>
  </si>
  <si>
    <t xml:space="preserve">faible</t>
  </si>
  <si>
    <t xml:space="preserve">(moyen)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</si>
  <si>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</si>
  <si>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</si>
  <si>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</si>
  <si>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</si>
  <si>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</si>
  <si>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</si>
  <si>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</si>
  <si>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</si>
  <si>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</si>
  <si>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</si>
  <si>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</si>
  <si>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</si>
  <si>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</si>
  <si>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</si>
  <si>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</si>
  <si>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</si>
  <si>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</si>
  <si>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</si>
  <si>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</si>
  <si>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</si>
  <si>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</si>
  <si>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</si>
  <si>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</si>
  <si>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</si>
  <si>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</si>
  <si>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</si>
  <si>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</si>
  <si>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</si>
  <si>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</si>
  <si>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</si>
  <si>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</si>
  <si>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</si>
  <si>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</si>
  <si>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</si>
  <si>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</si>
  <si>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</si>
  <si>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</si>
  <si>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</si>
  <si>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</si>
  <si>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</si>
  <si>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</si>
  <si>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</si>
  <si>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</si>
  <si>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</si>
  <si>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</si>
  <si>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</si>
  <si>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</si>
  <si>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</si>
  <si>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</si>
  <si>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</si>
  <si>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</si>
  <si>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</si>
  <si>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</si>
  <si>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</si>
  <si>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</si>
  <si>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BATSPX</t>
  </si>
  <si>
    <t xml:space="preserve">CLASPX</t>
  </si>
  <si>
    <t xml:space="preserve">MICSPX</t>
  </si>
  <si>
    <t xml:space="preserve">MOUSPX</t>
  </si>
  <si>
    <t xml:space="preserve">VAUSPX</t>
  </si>
  <si>
    <t xml:space="preserve">PELEND</t>
  </si>
  <si>
    <t xml:space="preserve">CINFON</t>
  </si>
  <si>
    <t xml:space="preserve">CRAFIL</t>
  </si>
  <si>
    <t xml:space="preserve">FONANT</t>
  </si>
  <si>
    <t xml:space="preserve">RHYRIP</t>
  </si>
  <si>
    <t xml:space="preserve">newcod</t>
  </si>
  <si>
    <t xml:space="preserve">Cf.</t>
  </si>
  <si>
    <t xml:space="preserve">Orthotrichum cf. affine</t>
  </si>
  <si>
    <t xml:space="preserve">Salix purpurea</t>
  </si>
  <si>
    <t xml:space="preserve">Frullania dilatata</t>
  </si>
  <si>
    <t xml:space="preserve">Plectonema sp.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</si>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</sst>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3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00"/>
        <bgColor rgb="FFFFCC00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11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11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11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1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5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6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2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2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2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3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2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2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8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3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0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30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0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FUBUR_26-06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41451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12.72</v>
      </c>
      <c r="M5" s="53"/>
      <c r="N5" s="54" t="s">
        <v>16</v>
      </c>
      <c r="O5" s="55" t="n">
        <v>12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80</v>
      </c>
      <c r="C7" s="67" t="n">
        <v>20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11.8</v>
      </c>
      <c r="O8" s="84" t="n">
        <f aca="false">IF(ISERROR(AVERAGE(J23:J82)),"      -",AVERAGE(J23:J82))</f>
        <v>1.7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21.85</v>
      </c>
      <c r="C9" s="87" t="n">
        <v>5.1</v>
      </c>
      <c r="D9" s="88"/>
      <c r="E9" s="88"/>
      <c r="F9" s="89" t="n">
        <f aca="false">($B9*$B$7+$C9*$C$7)/100</f>
        <v>18.5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4.06939798987516</v>
      </c>
      <c r="O9" s="84" t="n">
        <f aca="false">IF(ISERROR(STDEVP(J23:J82)),"      -",STDEVP(J23:J82))</f>
        <v>0.640312423743285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18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1.6</v>
      </c>
      <c r="C12" s="119" t="n">
        <v>0.03</v>
      </c>
      <c r="D12" s="111"/>
      <c r="E12" s="111"/>
      <c r="F12" s="112" t="n">
        <f aca="false">($B12*$B$7+$C12*$C$7)/100</f>
        <v>1.286</v>
      </c>
      <c r="G12" s="120"/>
      <c r="H12" s="68"/>
      <c r="I12" s="121" t="s">
        <v>39</v>
      </c>
      <c r="J12" s="121"/>
      <c r="K12" s="115" t="n">
        <f aca="false">COUNTIF($G$23:$G$82,"=ALG")</f>
        <v>5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20.25</v>
      </c>
      <c r="C13" s="119" t="n">
        <v>5.1</v>
      </c>
      <c r="D13" s="111"/>
      <c r="E13" s="111"/>
      <c r="F13" s="112" t="n">
        <f aca="false">($B13*$B$7+$C13*$C$7)/100</f>
        <v>17.22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6</v>
      </c>
      <c r="L13" s="116"/>
      <c r="M13" s="127" t="s">
        <v>42</v>
      </c>
      <c r="N13" s="128" t="n">
        <f aca="false">COUNTIF(F23:F82,"&gt;0")</f>
        <v>15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10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/>
      <c r="D15" s="111"/>
      <c r="E15" s="111"/>
      <c r="F15" s="112" t="n">
        <f aca="false">($B15*$B$7+$C15*$C$7)/100</f>
        <v>0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0</v>
      </c>
      <c r="L15" s="116"/>
      <c r="M15" s="137" t="s">
        <v>48</v>
      </c>
      <c r="N15" s="138" t="n">
        <f aca="false">COUNTIF(J23:J82,"=1")</f>
        <v>4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5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21.85</v>
      </c>
      <c r="C17" s="119" t="n">
        <v>5.13</v>
      </c>
      <c r="D17" s="111"/>
      <c r="E17" s="111"/>
      <c r="F17" s="143"/>
      <c r="G17" s="112" t="n">
        <f aca="false">($B17*$B$7+$C17*$C$7)/100</f>
        <v>18.506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1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/>
      <c r="D18" s="111"/>
      <c r="E18" s="147" t="s">
        <v>54</v>
      </c>
      <c r="F18" s="143"/>
      <c r="G18" s="112" t="n">
        <f aca="false">($B18*$B$7+$C18*$C$7)/100</f>
        <v>0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18.506</v>
      </c>
      <c r="G19" s="156" t="n">
        <f aca="false">SUM(G16:G18)</f>
        <v>18.506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21.88</v>
      </c>
      <c r="C20" s="166" t="n">
        <f aca="false">SUM(C23:C82)</f>
        <v>5.151</v>
      </c>
      <c r="D20" s="167"/>
      <c r="E20" s="168" t="s">
        <v>54</v>
      </c>
      <c r="F20" s="169" t="n">
        <f aca="false">($B20*$B$7+$C20*$C$7)/100</f>
        <v>18.5342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17.504</v>
      </c>
      <c r="C21" s="179" t="n">
        <f aca="false">C20*C7/100</f>
        <v>1.0302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18.5342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3" t="s">
        <v>77</v>
      </c>
    </row>
    <row r="23" customFormat="false" ht="12.75" hidden="false" customHeight="false" outlineLevel="0" collapsed="false">
      <c r="A23" s="204" t="s">
        <v>78</v>
      </c>
      <c r="B23" s="205" t="n">
        <v>0</v>
      </c>
      <c r="C23" s="206" t="n">
        <v>0.01</v>
      </c>
      <c r="D23" s="207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Batrachospermum sp.</v>
      </c>
      <c r="E23" s="207" t="e">
        <f aca="false">IF(D23="",0,VLOOKUP(D23,D$22:D22,1,0))</f>
        <v>#N/A</v>
      </c>
      <c r="F23" s="208" t="n">
        <f aca="false">($B23*$B$7+$C23*$C$7)/100</f>
        <v>0.002</v>
      </c>
      <c r="G23" s="209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10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1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16</v>
      </c>
      <c r="J23" s="211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2</v>
      </c>
      <c r="K23" s="212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Batrachospermum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1155</v>
      </c>
      <c r="Q23" s="216" t="n">
        <f aca="false">IF(ISTEXT(H23),"",(B23*$B$7/100)+(C23*$C$7/100))</f>
        <v>0.002</v>
      </c>
      <c r="R23" s="217" t="n">
        <f aca="false">IF(OR(ISTEXT(H23),Q23=0),"",IF(Q23&lt;0.1,1,IF(Q23&lt;1,2,IF(Q23&lt;10,3,IF(Q23&lt;50,4,IF(Q23&gt;=50,5,""))))))</f>
        <v>1</v>
      </c>
      <c r="S23" s="217" t="n">
        <f aca="false">IF(ISERROR(R23*I23),0,R23*I23)</f>
        <v>16</v>
      </c>
      <c r="T23" s="217" t="n">
        <f aca="false">IF(ISERROR(R23*I23*J23),0,R23*I23*J23)</f>
        <v>32</v>
      </c>
      <c r="U23" s="217" t="n">
        <f aca="false">IF(ISERROR(R23*J23),0,R23*J23)</f>
        <v>2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IF(A23="new.cod","NEWCOD",IF(AND((Z23=""),ISTEXT(A23)),A23,IF(Z23="","",INDEX('[1]liste reference'!$A$8:$A$904,Z23))))</f>
        <v>BATSPX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7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79</v>
      </c>
      <c r="B24" s="224" t="n">
        <v>1.5</v>
      </c>
      <c r="C24" s="225" t="n">
        <v>0.01</v>
      </c>
      <c r="D24" s="207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Cladophora sp.</v>
      </c>
      <c r="E24" s="226" t="e">
        <f aca="false">IF(D24="",0,VLOOKUP(D24,D$22:D23,1,0))</f>
        <v>#N/A</v>
      </c>
      <c r="F24" s="227" t="n">
        <f aca="false">($B24*$B$7+$C24*$C$7)/100</f>
        <v>1.202</v>
      </c>
      <c r="G24" s="209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10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1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6</v>
      </c>
      <c r="J24" s="211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1</v>
      </c>
      <c r="K24" s="212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Cladophora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1124</v>
      </c>
      <c r="Q24" s="216" t="n">
        <f aca="false">IF(ISTEXT(H24),"",(B24*$B$7/100)+(C24*$C$7/100))</f>
        <v>1.202</v>
      </c>
      <c r="R24" s="217" t="n">
        <f aca="false">IF(OR(ISTEXT(H24),Q24=0),"",IF(Q24&lt;0.1,1,IF(Q24&lt;1,2,IF(Q24&lt;10,3,IF(Q24&lt;50,4,IF(Q24&gt;=50,5,""))))))</f>
        <v>3</v>
      </c>
      <c r="S24" s="217" t="n">
        <f aca="false">IF(ISERROR(R24*I24),0,R24*I24)</f>
        <v>18</v>
      </c>
      <c r="T24" s="217" t="n">
        <f aca="false">IF(ISERROR(R24*I24*J24),0,R24*I24*J24)</f>
        <v>18</v>
      </c>
      <c r="U24" s="229" t="n">
        <f aca="false">IF(ISERROR(R24*J24),0,R24*J24)</f>
        <v>3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IF(A24="new.cod","NEWCOD",IF(AND((Z24=""),ISTEXT(A24)),A24,IF(Z24="","",INDEX('[1]liste reference'!$A$8:$A$904,Z24))))</f>
        <v>CLASPX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23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80</v>
      </c>
      <c r="B25" s="224" t="n">
        <v>0.01</v>
      </c>
      <c r="C25" s="225" t="n">
        <v>0.001</v>
      </c>
      <c r="D25" s="207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Microspora sp.</v>
      </c>
      <c r="E25" s="226" t="e">
        <f aca="false">IF(D25="",0,VLOOKUP(D25,D$22:D24,1,0))</f>
        <v>#N/A</v>
      </c>
      <c r="F25" s="227" t="n">
        <f aca="false">($B25*$B$7+$C25*$C$7)/100</f>
        <v>0.0082</v>
      </c>
      <c r="G25" s="209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10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1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12</v>
      </c>
      <c r="J25" s="211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2</v>
      </c>
      <c r="K25" s="212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Microspora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1132</v>
      </c>
      <c r="Q25" s="216" t="n">
        <f aca="false">IF(ISTEXT(H25),"",(B25*$B$7/100)+(C25*$C$7/100))</f>
        <v>0.0082</v>
      </c>
      <c r="R25" s="217" t="n">
        <f aca="false">IF(OR(ISTEXT(H25),Q25=0),"",IF(Q25&lt;0.1,1,IF(Q25&lt;1,2,IF(Q25&lt;10,3,IF(Q25&lt;50,4,IF(Q25&gt;=50,5,""))))))</f>
        <v>1</v>
      </c>
      <c r="S25" s="217" t="n">
        <f aca="false">IF(ISERROR(R25*I25),0,R25*I25)</f>
        <v>12</v>
      </c>
      <c r="T25" s="217" t="n">
        <f aca="false">IF(ISERROR(R25*I25*J25),0,R25*I25*J25)</f>
        <v>24</v>
      </c>
      <c r="U25" s="229" t="n">
        <f aca="false">IF(ISERROR(R25*J25),0,R25*J25)</f>
        <v>2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IF(A25="new.cod","NEWCOD",IF(AND((Z25=""),ISTEXT(A25)),A25,IF(Z25="","",INDEX('[1]liste reference'!$A$8:$A$904,Z25))))</f>
        <v>MICSPX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41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81</v>
      </c>
      <c r="B26" s="224" t="n">
        <v>0.01</v>
      </c>
      <c r="C26" s="225" t="n">
        <v>0</v>
      </c>
      <c r="D26" s="207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Mougeotia sp.</v>
      </c>
      <c r="E26" s="226" t="e">
        <f aca="false">IF(D26="",0,VLOOKUP(D26,D$22:D25,1,0))</f>
        <v>#N/A</v>
      </c>
      <c r="F26" s="227" t="n">
        <f aca="false">($B26*$B$7+$C26*$C$7)/100</f>
        <v>0.008</v>
      </c>
      <c r="G26" s="209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ALG</v>
      </c>
      <c r="H26" s="210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2</v>
      </c>
      <c r="I26" s="211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13</v>
      </c>
      <c r="J26" s="211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2</v>
      </c>
      <c r="K26" s="212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Mougeotia sp.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1146</v>
      </c>
      <c r="Q26" s="216" t="n">
        <f aca="false">IF(ISTEXT(H26),"",(B26*$B$7/100)+(C26*$C$7/100))</f>
        <v>0.008</v>
      </c>
      <c r="R26" s="217" t="n">
        <f aca="false">IF(OR(ISTEXT(H26),Q26=0),"",IF(Q26&lt;0.1,1,IF(Q26&lt;1,2,IF(Q26&lt;10,3,IF(Q26&lt;50,4,IF(Q26&gt;=50,5,""))))))</f>
        <v>1</v>
      </c>
      <c r="S26" s="217" t="n">
        <f aca="false">IF(ISERROR(R26*I26),0,R26*I26)</f>
        <v>13</v>
      </c>
      <c r="T26" s="217" t="n">
        <f aca="false">IF(ISERROR(R26*I26*J26),0,R26*I26*J26)</f>
        <v>26</v>
      </c>
      <c r="U26" s="229" t="n">
        <f aca="false">IF(ISERROR(R26*J26),0,R26*J26)</f>
        <v>2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IF(A26="new.cod","NEWCOD",IF(AND((Z26=""),ISTEXT(A26)),A26,IF(Z26="","",INDEX('[1]liste reference'!$A$8:$A$904,Z26))))</f>
        <v>MOUSPX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43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82</v>
      </c>
      <c r="B27" s="224" t="n">
        <v>0.09</v>
      </c>
      <c r="C27" s="225" t="n">
        <v>0.01</v>
      </c>
      <c r="D27" s="207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Vaucheria sp.</v>
      </c>
      <c r="E27" s="226" t="e">
        <f aca="false">IF(D27="",0,VLOOKUP(D27,D$22:D26,1,0))</f>
        <v>#N/A</v>
      </c>
      <c r="F27" s="227" t="n">
        <f aca="false">($B27*$B$7+$C27*$C$7)/100</f>
        <v>0.074</v>
      </c>
      <c r="G27" s="209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ALG</v>
      </c>
      <c r="H27" s="210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2</v>
      </c>
      <c r="I27" s="211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4</v>
      </c>
      <c r="J27" s="211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1</v>
      </c>
      <c r="K27" s="212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Vaucheria sp.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6193</v>
      </c>
      <c r="Q27" s="216" t="n">
        <f aca="false">IF(ISTEXT(H27),"",(B27*$B$7/100)+(C27*$C$7/100))</f>
        <v>0.074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4</v>
      </c>
      <c r="T27" s="217" t="n">
        <f aca="false">IF(ISERROR(R27*I27*J27),0,R27*I27*J27)</f>
        <v>4</v>
      </c>
      <c r="U27" s="229" t="n">
        <f aca="false">IF(ISERROR(R27*J27),0,R27*J27)</f>
        <v>1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IF(A27="new.cod","NEWCOD",IF(AND((Z27=""),ISTEXT(A27)),A27,IF(Z27="","",INDEX('[1]liste reference'!$A$8:$A$904,Z27))))</f>
        <v>VAUSPX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82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83</v>
      </c>
      <c r="B28" s="224" t="n">
        <v>0.01</v>
      </c>
      <c r="C28" s="225" t="n">
        <v>0</v>
      </c>
      <c r="D28" s="207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Pellia endiviifolia</v>
      </c>
      <c r="E28" s="226" t="e">
        <f aca="false">IF(D28="",0,VLOOKUP(D28,D$22:D27,1,0))</f>
        <v>#N/A</v>
      </c>
      <c r="F28" s="227" t="n">
        <f aca="false">($B28*$B$7+$C28*$C$7)/100</f>
        <v>0.008</v>
      </c>
      <c r="G28" s="209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BRh</v>
      </c>
      <c r="H28" s="210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4</v>
      </c>
      <c r="I28" s="211" t="str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/>
      </c>
      <c r="J28" s="211" t="str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/>
      </c>
      <c r="K28" s="212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Pellia endiviifolia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1197</v>
      </c>
      <c r="Q28" s="216" t="n">
        <f aca="false">IF(ISTEXT(H28),"",(B28*$B$7/100)+(C28*$C$7/100))</f>
        <v>0.008</v>
      </c>
      <c r="R28" s="217" t="n">
        <f aca="false">IF(OR(ISTEXT(H28),Q28=0),"",IF(Q28&lt;0.1,1,IF(Q28&lt;1,2,IF(Q28&lt;10,3,IF(Q28&lt;50,4,IF(Q28&gt;=50,5,""))))))</f>
        <v>1</v>
      </c>
      <c r="S28" s="217" t="n">
        <f aca="false">IF(ISERROR(R28*I28),0,R28*I28)</f>
        <v>0</v>
      </c>
      <c r="T28" s="217" t="n">
        <f aca="false">IF(ISERROR(R28*I28*J28),0,R28*I28*J28)</f>
        <v>0</v>
      </c>
      <c r="U28" s="229" t="n">
        <f aca="false">IF(ISERROR(R28*J28),0,R28*J28)</f>
        <v>0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IF(A28="new.cod","NEWCOD",IF(AND((Z28=""),ISTEXT(A28)),A28,IF(Z28="","",INDEX('[1]liste reference'!$A$8:$A$904,Z28))))</f>
        <v>PELEND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120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16</v>
      </c>
      <c r="B29" s="224" t="n">
        <v>10.1</v>
      </c>
      <c r="C29" s="225" t="n">
        <v>2</v>
      </c>
      <c r="D29" s="207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Cinclidotus aquaticus</v>
      </c>
      <c r="E29" s="226" t="e">
        <f aca="false">IF(D29="",0,VLOOKUP(D29,D$22:D28,1,0))</f>
        <v>#N/A</v>
      </c>
      <c r="F29" s="227" t="n">
        <f aca="false">($B29*$B$7+$C29*$C$7)/100</f>
        <v>8.48</v>
      </c>
      <c r="G29" s="209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BRm</v>
      </c>
      <c r="H29" s="210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5</v>
      </c>
      <c r="I29" s="211" t="n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>15</v>
      </c>
      <c r="J29" s="211" t="n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>2</v>
      </c>
      <c r="K29" s="212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Cinclidotus aquaticus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1318</v>
      </c>
      <c r="Q29" s="216" t="n">
        <f aca="false">IF(ISTEXT(H29),"",(B29*$B$7/100)+(C29*$C$7/100))</f>
        <v>8.48</v>
      </c>
      <c r="R29" s="217" t="n">
        <f aca="false">IF(OR(ISTEXT(H29),Q29=0),"",IF(Q29&lt;0.1,1,IF(Q29&lt;1,2,IF(Q29&lt;10,3,IF(Q29&lt;50,4,IF(Q29&gt;=50,5,""))))))</f>
        <v>3</v>
      </c>
      <c r="S29" s="217" t="n">
        <f aca="false">IF(ISERROR(R29*I29),0,R29*I29)</f>
        <v>45</v>
      </c>
      <c r="T29" s="217" t="n">
        <f aca="false">IF(ISERROR(R29*I29*J29),0,R29*I29*J29)</f>
        <v>90</v>
      </c>
      <c r="U29" s="229" t="n">
        <f aca="false">IF(ISERROR(R29*J29),0,R29*J29)</f>
        <v>6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IF(A29="new.cod","NEWCOD",IF(AND((Z29=""),ISTEXT(A29)),A29,IF(Z29="","",INDEX('[1]liste reference'!$A$8:$A$904,Z29))))</f>
        <v>CINAQU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170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84</v>
      </c>
      <c r="B30" s="224" t="n">
        <v>0.01</v>
      </c>
      <c r="C30" s="225" t="n">
        <v>0</v>
      </c>
      <c r="D30" s="207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Cinclidotus fontinaloides</v>
      </c>
      <c r="E30" s="226" t="e">
        <f aca="false">IF(D30="",0,VLOOKUP(D30,D$22:D29,1,0))</f>
        <v>#N/A</v>
      </c>
      <c r="F30" s="227" t="n">
        <f aca="false">($B30*$B$7+$C30*$C$7)/100</f>
        <v>0.008</v>
      </c>
      <c r="G30" s="209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BRm</v>
      </c>
      <c r="H30" s="210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5</v>
      </c>
      <c r="I30" s="211" t="n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>12</v>
      </c>
      <c r="J30" s="211" t="n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>2</v>
      </c>
      <c r="K30" s="212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Cinclidotus fontinaloides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1320</v>
      </c>
      <c r="Q30" s="216" t="n">
        <f aca="false">IF(ISTEXT(H30),"",(B30*$B$7/100)+(C30*$C$7/100))</f>
        <v>0.008</v>
      </c>
      <c r="R30" s="217" t="n">
        <f aca="false">IF(OR(ISTEXT(H30),Q30=0),"",IF(Q30&lt;0.1,1,IF(Q30&lt;1,2,IF(Q30&lt;10,3,IF(Q30&lt;50,4,IF(Q30&gt;=50,5,""))))))</f>
        <v>1</v>
      </c>
      <c r="S30" s="217" t="n">
        <f aca="false">IF(ISERROR(R30*I30),0,R30*I30)</f>
        <v>12</v>
      </c>
      <c r="T30" s="217" t="n">
        <f aca="false">IF(ISERROR(R30*I30*J30),0,R30*I30*J30)</f>
        <v>24</v>
      </c>
      <c r="U30" s="229" t="n">
        <f aca="false">IF(ISERROR(R30*J30),0,R30*J30)</f>
        <v>2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IF(A30="new.cod","NEWCOD",IF(AND((Z30=""),ISTEXT(A30)),A30,IF(Z30="","",INDEX('[1]liste reference'!$A$8:$A$904,Z30))))</f>
        <v>CINFON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172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 t="s">
        <v>85</v>
      </c>
      <c r="B31" s="224" t="n">
        <v>0.01</v>
      </c>
      <c r="C31" s="225" t="n">
        <v>0.1</v>
      </c>
      <c r="D31" s="207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>Cratoneuron filicinum</v>
      </c>
      <c r="E31" s="226" t="e">
        <f aca="false">IF(D31="",0,VLOOKUP(D31,D$22:D30,1,0))</f>
        <v>#N/A</v>
      </c>
      <c r="F31" s="227" t="n">
        <f aca="false">($B31*$B$7+$C31*$C$7)/100</f>
        <v>0.028</v>
      </c>
      <c r="G31" s="209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>BRm</v>
      </c>
      <c r="H31" s="210" t="n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5</v>
      </c>
      <c r="I31" s="211" t="n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>18</v>
      </c>
      <c r="J31" s="211" t="n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>3</v>
      </c>
      <c r="K31" s="212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>Cratoneuron filicinum</v>
      </c>
      <c r="L31" s="228"/>
      <c r="M31" s="228"/>
      <c r="N31" s="228"/>
      <c r="O31" s="214"/>
      <c r="P31" s="215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1233</v>
      </c>
      <c r="Q31" s="216" t="n">
        <f aca="false">IF(ISTEXT(H31),"",(B31*$B$7/100)+(C31*$C$7/100))</f>
        <v>0.028</v>
      </c>
      <c r="R31" s="217" t="n">
        <f aca="false">IF(OR(ISTEXT(H31),Q31=0),"",IF(Q31&lt;0.1,1,IF(Q31&lt;1,2,IF(Q31&lt;10,3,IF(Q31&lt;50,4,IF(Q31&gt;=50,5,""))))))</f>
        <v>1</v>
      </c>
      <c r="S31" s="217" t="n">
        <f aca="false">IF(ISERROR(R31*I31),0,R31*I31)</f>
        <v>18</v>
      </c>
      <c r="T31" s="217" t="n">
        <f aca="false">IF(ISERROR(R31*I31*J31),0,R31*I31*J31)</f>
        <v>54</v>
      </c>
      <c r="U31" s="229" t="n">
        <f aca="false">IF(ISERROR(R31*J31),0,R31*J31)</f>
        <v>3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IF(A31="new.cod","NEWCOD",IF(AND((Z31=""),ISTEXT(A31)),A31,IF(Z31="","",INDEX('[1]liste reference'!$A$8:$A$904,Z31))))</f>
        <v>CRAFIL</v>
      </c>
      <c r="Z31" s="10" t="n">
        <f aca="false">IF(ISERROR(MATCH(A31,'[1]liste reference'!$A$8:$A$904,0)),IF(ISERROR(MATCH(A31,'[1]liste reference'!$B$8:$B$904,0)),"",(MATCH(A31,'[1]liste reference'!$B$8:$B$904,0))),(MATCH(A31,'[1]liste reference'!$A$8:$A$904,0)))</f>
        <v>178</v>
      </c>
      <c r="AA31" s="221"/>
      <c r="AB31" s="222"/>
      <c r="AC31" s="222"/>
      <c r="BB31" s="10" t="n">
        <f aca="false">IF(A31="","",1)</f>
        <v>1</v>
      </c>
    </row>
    <row r="32" customFormat="false" ht="12.75" hidden="false" customHeight="false" outlineLevel="0" collapsed="false">
      <c r="A32" s="223" t="s">
        <v>86</v>
      </c>
      <c r="B32" s="224" t="n">
        <v>0.1</v>
      </c>
      <c r="C32" s="225" t="n">
        <v>0.01</v>
      </c>
      <c r="D32" s="207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>Fontinalis antipyretica</v>
      </c>
      <c r="E32" s="226" t="e">
        <f aca="false">IF(D32="",0,VLOOKUP(D32,D$22:D31,1,0))</f>
        <v>#N/A</v>
      </c>
      <c r="F32" s="227" t="n">
        <f aca="false">($B32*$B$7+$C32*$C$7)/100</f>
        <v>0.082</v>
      </c>
      <c r="G32" s="209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>BRm</v>
      </c>
      <c r="H32" s="210" t="n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5</v>
      </c>
      <c r="I32" s="211" t="n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>10</v>
      </c>
      <c r="J32" s="211" t="n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>1</v>
      </c>
      <c r="K32" s="212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>Fontinalis antipyretica</v>
      </c>
      <c r="L32" s="228"/>
      <c r="M32" s="228"/>
      <c r="N32" s="228"/>
      <c r="O32" s="214"/>
      <c r="P32" s="215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1310</v>
      </c>
      <c r="Q32" s="216" t="n">
        <f aca="false">IF(ISTEXT(H32),"",(B32*$B$7/100)+(C32*$C$7/100))</f>
        <v>0.082</v>
      </c>
      <c r="R32" s="217" t="n">
        <f aca="false">IF(OR(ISTEXT(H32),Q32=0),"",IF(Q32&lt;0.1,1,IF(Q32&lt;1,2,IF(Q32&lt;10,3,IF(Q32&lt;50,4,IF(Q32&gt;=50,5,""))))))</f>
        <v>1</v>
      </c>
      <c r="S32" s="217" t="n">
        <f aca="false">IF(ISERROR(R32*I32),0,R32*I32)</f>
        <v>10</v>
      </c>
      <c r="T32" s="217" t="n">
        <f aca="false">IF(ISERROR(R32*I32*J32),0,R32*I32*J32)</f>
        <v>10</v>
      </c>
      <c r="U32" s="229" t="n">
        <f aca="false">IF(ISERROR(R32*J32),0,R32*J32)</f>
        <v>1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IF(A32="new.cod","NEWCOD",IF(AND((Z32=""),ISTEXT(A32)),A32,IF(Z32="","",INDEX('[1]liste reference'!$A$8:$A$904,Z32))))</f>
        <v>FONANT</v>
      </c>
      <c r="Z32" s="10" t="n">
        <f aca="false">IF(ISERROR(MATCH(A32,'[1]liste reference'!$A$8:$A$904,0)),IF(ISERROR(MATCH(A32,'[1]liste reference'!$B$8:$B$904,0)),"",(MATCH(A32,'[1]liste reference'!$B$8:$B$904,0))),(MATCH(A32,'[1]liste reference'!$A$8:$A$904,0)))</f>
        <v>210</v>
      </c>
      <c r="AA32" s="221"/>
      <c r="AB32" s="222"/>
      <c r="AC32" s="222"/>
      <c r="BB32" s="10" t="n">
        <f aca="false">IF(A32="","",1)</f>
        <v>1</v>
      </c>
    </row>
    <row r="33" customFormat="false" ht="12.75" hidden="false" customHeight="false" outlineLevel="0" collapsed="false">
      <c r="A33" s="223" t="s">
        <v>87</v>
      </c>
      <c r="B33" s="224" t="n">
        <v>10.01</v>
      </c>
      <c r="C33" s="225" t="n">
        <v>3</v>
      </c>
      <c r="D33" s="207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>Rhynchostegium riparioides</v>
      </c>
      <c r="E33" s="226" t="e">
        <f aca="false">IF(D33="",0,VLOOKUP(D33,D$22:D32,1,0))</f>
        <v>#N/A</v>
      </c>
      <c r="F33" s="227" t="n">
        <f aca="false">($B33*$B$7+$C33*$C$7)/100</f>
        <v>8.608</v>
      </c>
      <c r="G33" s="209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>BRm</v>
      </c>
      <c r="H33" s="210" t="n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5</v>
      </c>
      <c r="I33" s="211" t="n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>12</v>
      </c>
      <c r="J33" s="211" t="n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>1</v>
      </c>
      <c r="K33" s="212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>Rhynchostegium riparioides</v>
      </c>
      <c r="L33" s="228"/>
      <c r="M33" s="228"/>
      <c r="N33" s="228"/>
      <c r="O33" s="214"/>
      <c r="P33" s="215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1268</v>
      </c>
      <c r="Q33" s="216" t="n">
        <f aca="false">IF(ISTEXT(H33),"",(B33*$B$7/100)+(C33*$C$7/100))</f>
        <v>8.608</v>
      </c>
      <c r="R33" s="217" t="n">
        <f aca="false">IF(OR(ISTEXT(H33),Q33=0),"",IF(Q33&lt;0.1,1,IF(Q33&lt;1,2,IF(Q33&lt;10,3,IF(Q33&lt;50,4,IF(Q33&gt;=50,5,""))))))</f>
        <v>3</v>
      </c>
      <c r="S33" s="217" t="n">
        <f aca="false">IF(ISERROR(R33*I33),0,R33*I33)</f>
        <v>36</v>
      </c>
      <c r="T33" s="217" t="n">
        <f aca="false">IF(ISERROR(R33*I33*J33),0,R33*I33*J33)</f>
        <v>36</v>
      </c>
      <c r="U33" s="229" t="n">
        <f aca="false">IF(ISERROR(R33*J33),0,R33*J33)</f>
        <v>3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IF(A33="new.cod","NEWCOD",IF(AND((Z33=""),ISTEXT(A33)),A33,IF(Z33="","",INDEX('[1]liste reference'!$A$8:$A$904,Z33))))</f>
        <v>RHYRIP</v>
      </c>
      <c r="Z33" s="10" t="n">
        <f aca="false">IF(ISERROR(MATCH(A33,'[1]liste reference'!$A$8:$A$904,0)),IF(ISERROR(MATCH(A33,'[1]liste reference'!$B$8:$B$904,0)),"",(MATCH(A33,'[1]liste reference'!$B$8:$B$904,0))),(MATCH(A33,'[1]liste reference'!$A$8:$A$904,0)))</f>
        <v>252</v>
      </c>
      <c r="AA33" s="221"/>
      <c r="AB33" s="222"/>
      <c r="AC33" s="222"/>
      <c r="BB33" s="10" t="n">
        <f aca="false">IF(A33="","",1)</f>
        <v>1</v>
      </c>
    </row>
    <row r="34" customFormat="false" ht="12.75" hidden="false" customHeight="false" outlineLevel="0" collapsed="false">
      <c r="A34" s="223" t="s">
        <v>88</v>
      </c>
      <c r="B34" s="224" t="n">
        <v>0.01</v>
      </c>
      <c r="C34" s="225" t="n">
        <v>0</v>
      </c>
      <c r="D34" s="207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/>
      </c>
      <c r="E34" s="226" t="n">
        <f aca="false">IF(D34="",0,VLOOKUP(D34,D$22:D33,1,0))</f>
        <v>0</v>
      </c>
      <c r="F34" s="231" t="n">
        <f aca="false">($B34*$B$7+$C34*$C$7)/100</f>
        <v>0.008</v>
      </c>
      <c r="G34" s="209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>    -</v>
      </c>
      <c r="H34" s="210" t="str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x</v>
      </c>
      <c r="I34" s="211" t="str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/>
      </c>
      <c r="J34" s="211" t="str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/>
      </c>
      <c r="K34" s="212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>Orthotrichum cf. affine</v>
      </c>
      <c r="L34" s="228"/>
      <c r="M34" s="228"/>
      <c r="N34" s="228"/>
      <c r="O34" s="214"/>
      <c r="P34" s="215" t="str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>No</v>
      </c>
      <c r="Q34" s="216" t="str">
        <f aca="false">IF(ISTEXT(H34),"",(B34*$B$7/100)+(C34*$C$7/100))</f>
        <v/>
      </c>
      <c r="R34" s="217" t="str">
        <f aca="false">IF(OR(ISTEXT(H34),Q34=0),"",IF(Q34&lt;0.1,1,IF(Q34&lt;1,2,IF(Q34&lt;10,3,IF(Q34&lt;50,4,IF(Q34&gt;=50,5,""))))))</f>
        <v/>
      </c>
      <c r="S34" s="217" t="n">
        <f aca="false">IF(ISERROR(R34*I34),0,R34*I34)</f>
        <v>0</v>
      </c>
      <c r="T34" s="217" t="n">
        <f aca="false">IF(ISERROR(R34*I34*J34),0,R34*I34*J34)</f>
        <v>0</v>
      </c>
      <c r="U34" s="229" t="n">
        <f aca="false">IF(ISERROR(R34*J34),0,R34*J34)</f>
        <v>0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IF(A34="new.cod","NEWCOD",IF(AND((Z34=""),ISTEXT(A34)),A34,IF(Z34="","",INDEX('[1]liste reference'!$A$8:$A$904,Z34))))</f>
        <v>newcod</v>
      </c>
      <c r="Z34" s="10" t="str">
        <f aca="false">IF(ISERROR(MATCH(A34,'[1]liste reference'!$A$8:$A$904,0)),IF(ISERROR(MATCH(A34,'[1]liste reference'!$B$8:$B$904,0)),"",(MATCH(A34,'[1]liste reference'!$B$8:$B$904,0))),(MATCH(A34,'[1]liste reference'!$A$8:$A$904,0)))</f>
        <v/>
      </c>
      <c r="AA34" s="221" t="s">
        <v>89</v>
      </c>
      <c r="AB34" s="222" t="s">
        <v>90</v>
      </c>
      <c r="AC34" s="222"/>
      <c r="BB34" s="10" t="n">
        <f aca="false">IF(A34="","",1)</f>
        <v>1</v>
      </c>
    </row>
    <row r="35" customFormat="false" ht="12.75" hidden="false" customHeight="false" outlineLevel="0" collapsed="false">
      <c r="A35" s="223" t="s">
        <v>88</v>
      </c>
      <c r="B35" s="224" t="n">
        <v>0</v>
      </c>
      <c r="C35" s="225" t="n">
        <v>0.01</v>
      </c>
      <c r="D35" s="207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/>
      </c>
      <c r="E35" s="226" t="n">
        <f aca="false">IF(D35="",0,VLOOKUP(D35,D$22:D34,1,0))</f>
        <v>0</v>
      </c>
      <c r="F35" s="231" t="n">
        <f aca="false">($B35*$B$7+$C35*$C$7)/100</f>
        <v>0.002</v>
      </c>
      <c r="G35" s="209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>    -</v>
      </c>
      <c r="H35" s="210" t="str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x</v>
      </c>
      <c r="I35" s="211" t="str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/>
      </c>
      <c r="J35" s="211" t="str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/>
      </c>
      <c r="K35" s="212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>Salix purpurea</v>
      </c>
      <c r="L35" s="228"/>
      <c r="M35" s="228"/>
      <c r="N35" s="228"/>
      <c r="O35" s="214"/>
      <c r="P35" s="215" t="str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>No</v>
      </c>
      <c r="Q35" s="216" t="str">
        <f aca="false">IF(ISTEXT(H35),"",(B35*$B$7/100)+(C35*$C$7/100))</f>
        <v/>
      </c>
      <c r="R35" s="217" t="str">
        <f aca="false">IF(OR(ISTEXT(H35),Q35=0),"",IF(Q35&lt;0.1,1,IF(Q35&lt;1,2,IF(Q35&lt;10,3,IF(Q35&lt;50,4,IF(Q35&gt;=50,5,""))))))</f>
        <v/>
      </c>
      <c r="S35" s="217" t="n">
        <f aca="false">IF(ISERROR(R35*I35),0,R35*I35)</f>
        <v>0</v>
      </c>
      <c r="T35" s="217" t="n">
        <f aca="false">IF(ISERROR(R35*I35*J35),0,R35*I35*J35)</f>
        <v>0</v>
      </c>
      <c r="U35" s="229" t="n">
        <f aca="false">IF(ISERROR(R35*J35),0,R35*J35)</f>
        <v>0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IF(A35="new.cod","NEWCOD",IF(AND((Z35=""),ISTEXT(A35)),A35,IF(Z35="","",INDEX('[1]liste reference'!$A$8:$A$904,Z35))))</f>
        <v>newcod</v>
      </c>
      <c r="Z35" s="10" t="str">
        <f aca="false">IF(ISERROR(MATCH(A35,'[1]liste reference'!$A$8:$A$904,0)),IF(ISERROR(MATCH(A35,'[1]liste reference'!$B$8:$B$904,0)),"",(MATCH(A35,'[1]liste reference'!$B$8:$B$904,0))),(MATCH(A35,'[1]liste reference'!$A$8:$A$904,0)))</f>
        <v/>
      </c>
      <c r="AA35" s="221"/>
      <c r="AB35" s="222" t="s">
        <v>91</v>
      </c>
      <c r="AC35" s="222"/>
      <c r="BB35" s="10" t="n">
        <f aca="false">IF(A35="","",1)</f>
        <v>1</v>
      </c>
    </row>
    <row r="36" customFormat="false" ht="12.75" hidden="false" customHeight="false" outlineLevel="0" collapsed="false">
      <c r="A36" s="223" t="s">
        <v>88</v>
      </c>
      <c r="B36" s="224" t="n">
        <v>0.01</v>
      </c>
      <c r="C36" s="225" t="n">
        <v>0</v>
      </c>
      <c r="D36" s="207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/>
      </c>
      <c r="E36" s="226" t="n">
        <f aca="false">IF(D36="",0,VLOOKUP(D36,D$22:D35,1,0))</f>
        <v>0</v>
      </c>
      <c r="F36" s="231" t="n">
        <f aca="false">($B36*$B$7+$C36*$C$7)/100</f>
        <v>0.008</v>
      </c>
      <c r="G36" s="209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>    -</v>
      </c>
      <c r="H36" s="210" t="str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x</v>
      </c>
      <c r="I36" s="211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1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2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>Frullania dilatata</v>
      </c>
      <c r="L36" s="228"/>
      <c r="M36" s="228"/>
      <c r="N36" s="228"/>
      <c r="O36" s="214"/>
      <c r="P36" s="215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>No</v>
      </c>
      <c r="Q36" s="216" t="str">
        <f aca="false">IF(ISTEXT(H36),"",(B36*$B$7/100)+(C36*$C$7/100))</f>
        <v/>
      </c>
      <c r="R36" s="217" t="str">
        <f aca="false">IF(OR(ISTEXT(H36),Q36=0),"",IF(Q36&lt;0.1,1,IF(Q36&lt;1,2,IF(Q36&lt;10,3,IF(Q36&lt;50,4,IF(Q36&gt;=50,5,""))))))</f>
        <v/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IF(A36="new.cod","NEWCOD",IF(AND((Z36=""),ISTEXT(A36)),A36,IF(Z36="","",INDEX('[1]liste reference'!$A$8:$A$904,Z36))))</f>
        <v>newcod</v>
      </c>
      <c r="Z36" s="10" t="str">
        <f aca="false">IF(ISERROR(MATCH(A36,'[1]liste reference'!$A$8:$A$904,0)),IF(ISERROR(MATCH(A36,'[1]liste reference'!$B$8:$B$904,0)),"",(MATCH(A36,'[1]liste reference'!$B$8:$B$904,0))),(MATCH(A36,'[1]liste reference'!$A$8:$A$904,0)))</f>
        <v/>
      </c>
      <c r="AA36" s="221"/>
      <c r="AB36" s="222" t="s">
        <v>92</v>
      </c>
      <c r="AC36" s="222"/>
      <c r="BB36" s="10" t="n">
        <f aca="false">IF(A36="","",1)</f>
        <v>1</v>
      </c>
    </row>
    <row r="37" customFormat="false" ht="12.75" hidden="false" customHeight="false" outlineLevel="0" collapsed="false">
      <c r="A37" s="223" t="s">
        <v>88</v>
      </c>
      <c r="B37" s="224" t="n">
        <v>0.01</v>
      </c>
      <c r="C37" s="225" t="n">
        <v>0</v>
      </c>
      <c r="D37" s="207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/>
      </c>
      <c r="E37" s="226" t="n">
        <f aca="false">IF(D37="",0,VLOOKUP(D37,D$22:D36,1,0))</f>
        <v>0</v>
      </c>
      <c r="F37" s="231" t="n">
        <f aca="false">($B37*$B$7+$C37*$C$7)/100</f>
        <v>0.008</v>
      </c>
      <c r="G37" s="209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>    -</v>
      </c>
      <c r="H37" s="210" t="str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x</v>
      </c>
      <c r="I37" s="211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1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2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>Plectonema sp.</v>
      </c>
      <c r="L37" s="228"/>
      <c r="M37" s="228"/>
      <c r="N37" s="228"/>
      <c r="O37" s="214"/>
      <c r="P37" s="215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>No</v>
      </c>
      <c r="Q37" s="216" t="str">
        <f aca="false">IF(ISTEXT(H37),"",(B37*$B$7/100)+(C37*$C$7/100))</f>
        <v/>
      </c>
      <c r="R37" s="217" t="str">
        <f aca="false">IF(OR(ISTEXT(H37),Q37=0),"",IF(Q37&lt;0.1,1,IF(Q37&lt;1,2,IF(Q37&lt;10,3,IF(Q37&lt;50,4,IF(Q37&gt;=50,5,""))))))</f>
        <v/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IF(A37="new.cod","NEWCOD",IF(AND((Z37=""),ISTEXT(A37)),A37,IF(Z37="","",INDEX('[1]liste reference'!$A$8:$A$904,Z37))))</f>
        <v>newcod</v>
      </c>
      <c r="Z37" s="10" t="str">
        <f aca="false">IF(ISERROR(MATCH(A37,'[1]liste reference'!$A$8:$A$904,0)),IF(ISERROR(MATCH(A37,'[1]liste reference'!$B$8:$B$904,0)),"",(MATCH(A37,'[1]liste reference'!$B$8:$B$904,0))),(MATCH(A37,'[1]liste reference'!$A$8:$A$904,0)))</f>
        <v/>
      </c>
      <c r="AA37" s="221"/>
      <c r="AB37" s="222" t="s">
        <v>93</v>
      </c>
      <c r="AC37" s="222"/>
      <c r="BB37" s="10" t="n">
        <f aca="false">IF(A37="","",1)</f>
        <v>1</v>
      </c>
    </row>
    <row r="38" customFormat="false" ht="12.75" hidden="false" customHeight="false" outlineLevel="0" collapsed="false">
      <c r="A38" s="223"/>
      <c r="B38" s="224"/>
      <c r="C38" s="225"/>
      <c r="D38" s="207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/>
      </c>
      <c r="E38" s="226" t="n">
        <f aca="false">IF(D38="",0,VLOOKUP(D38,D$22:D37,1,0))</f>
        <v>0</v>
      </c>
      <c r="F38" s="231" t="n">
        <f aca="false">($B38*$B$7+$C38*$C$7)/100</f>
        <v>0</v>
      </c>
      <c r="G38" s="209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/>
      </c>
      <c r="H38" s="210" t="str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x</v>
      </c>
      <c r="I38" s="211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1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2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/>
      </c>
      <c r="L38" s="228"/>
      <c r="M38" s="228"/>
      <c r="N38" s="228"/>
      <c r="O38" s="214"/>
      <c r="P38" s="215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IF(A38="new.cod","NEWCOD",IF(AND((Z38=""),ISTEXT(A38)),A38,IF(Z38="","",INDEX('[1]liste reference'!$A$8:$A$904,Z38))))</f>
        <v/>
      </c>
      <c r="Z38" s="10" t="str">
        <f aca="false">IF(ISERROR(MATCH(A38,'[1]liste reference'!$A$8:$A$904,0)),IF(ISERROR(MATCH(A38,'[1]liste reference'!$B$8:$B$904,0)),"",(MATCH(A38,'[1]liste reference'!$B$8:$B$904,0))),(MATCH(A38,'[1]liste reference'!$A$8:$A$904,0)))</f>
        <v/>
      </c>
      <c r="AA38" s="221"/>
      <c r="AB38" s="222"/>
      <c r="AC38" s="222"/>
      <c r="BB38" s="10" t="str">
        <f aca="false">IF(A38="","",1)</f>
        <v/>
      </c>
    </row>
    <row r="39" customFormat="false" ht="12.75" hidden="false" customHeight="false" outlineLevel="0" collapsed="false">
      <c r="A39" s="223"/>
      <c r="B39" s="224"/>
      <c r="C39" s="225"/>
      <c r="D39" s="207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</v>
      </c>
      <c r="G39" s="209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/>
      </c>
      <c r="H39" s="210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1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1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2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/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IF(A39="new.cod","NEWCOD",IF(AND((Z39=""),ISTEXT(A39)),A39,IF(Z39="","",INDEX('[1]liste reference'!$A$8:$A$904,Z39))))</f>
        <v/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10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1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1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2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10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1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1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2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10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1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1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2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10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1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1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2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10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1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1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2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10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1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1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2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10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1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1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2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10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1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1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2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10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1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1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2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10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1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1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2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10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1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1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2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10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1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1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2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10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1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1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2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10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1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1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2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10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1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1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2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10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1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1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2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10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1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1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2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10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1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1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2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10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1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1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2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10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1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1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2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10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1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1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2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10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1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1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2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10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1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1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2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6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1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1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2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8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1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1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2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8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1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1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2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8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1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1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2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8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1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1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2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8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1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1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2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8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1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1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2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8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1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1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2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8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1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1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2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8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1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1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2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8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1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1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2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8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1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1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2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8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1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1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2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8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1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1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2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8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1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1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2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8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1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1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2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8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1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1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2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8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1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1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2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8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1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1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2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7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1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1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8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94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FURAN</v>
      </c>
      <c r="B84" s="259" t="str">
        <f aca="false">C3</f>
        <v>Furans à La Burbanche</v>
      </c>
      <c r="C84" s="260" t="n">
        <f aca="false">A4</f>
        <v>41451</v>
      </c>
      <c r="D84" s="261" t="n">
        <f aca="false">IF(ISERROR(SUM($T$23:$T$82)/SUM($U$23:$U$82)),"",SUM($T$23:$T$82)/SUM($U$23:$U$82))</f>
        <v>12.72</v>
      </c>
      <c r="E84" s="262" t="n">
        <f aca="false">N13</f>
        <v>15</v>
      </c>
      <c r="F84" s="259" t="n">
        <f aca="false">N14</f>
        <v>10</v>
      </c>
      <c r="G84" s="259" t="n">
        <f aca="false">N15</f>
        <v>4</v>
      </c>
      <c r="H84" s="259" t="n">
        <f aca="false">N16</f>
        <v>5</v>
      </c>
      <c r="I84" s="259" t="n">
        <f aca="false">N17</f>
        <v>1</v>
      </c>
      <c r="J84" s="263" t="n">
        <f aca="false">N8</f>
        <v>11.8</v>
      </c>
      <c r="K84" s="261" t="n">
        <f aca="false">N9</f>
        <v>4.06939798987516</v>
      </c>
      <c r="L84" s="262" t="n">
        <f aca="false">N10</f>
        <v>4</v>
      </c>
      <c r="M84" s="262" t="n">
        <f aca="false">N11</f>
        <v>18</v>
      </c>
      <c r="N84" s="261" t="n">
        <f aca="false">O8</f>
        <v>1.7</v>
      </c>
      <c r="O84" s="261" t="n">
        <f aca="false">O9</f>
        <v>0.640312423743285</v>
      </c>
      <c r="P84" s="262" t="n">
        <f aca="false">O10</f>
        <v>1</v>
      </c>
      <c r="Q84" s="262" t="n">
        <f aca="false">O11</f>
        <v>3</v>
      </c>
      <c r="R84" s="262" t="n">
        <f aca="false">F21</f>
        <v>18.5342</v>
      </c>
      <c r="S84" s="262" t="n">
        <f aca="false">K11</f>
        <v>0</v>
      </c>
      <c r="T84" s="262" t="n">
        <f aca="false">K12</f>
        <v>5</v>
      </c>
      <c r="U84" s="262" t="n">
        <f aca="false">K13</f>
        <v>6</v>
      </c>
      <c r="V84" s="264" t="n">
        <f aca="false">K14</f>
        <v>0</v>
      </c>
      <c r="W84" s="265" t="n">
        <f aca="false">K15</f>
        <v>0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95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96</v>
      </c>
      <c r="R87" s="10"/>
      <c r="S87" s="218" t="n">
        <f aca="false">VLOOKUP(MAX($S$23:$S$82),($S$23:$U$82),1,0)</f>
        <v>45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97</v>
      </c>
      <c r="R88" s="10"/>
      <c r="S88" s="218" t="n">
        <f aca="false">VLOOKUP((S87),($S$23:$U$82),2,0)</f>
        <v>90</v>
      </c>
      <c r="T88" s="10"/>
      <c r="U88" s="10"/>
      <c r="V88" s="10"/>
    </row>
    <row r="89" customFormat="false" ht="12.75" hidden="true" customHeight="false" outlineLevel="0" collapsed="false">
      <c r="Q89" s="10" t="s">
        <v>98</v>
      </c>
      <c r="R89" s="10"/>
      <c r="S89" s="218" t="n">
        <f aca="false">VLOOKUP((S87),($S$23:$U$82),3,0)</f>
        <v>6</v>
      </c>
      <c r="T89" s="10"/>
    </row>
    <row r="90" customFormat="false" ht="12.75" hidden="false" customHeight="false" outlineLevel="0" collapsed="false">
      <c r="Q90" s="10" t="s">
        <v>99</v>
      </c>
      <c r="R90" s="10"/>
      <c r="S90" s="268" t="n">
        <f aca="false">IF(ISERROR(SUM($T$23:$T$82)/SUM($U$23:$U$82)),"",(SUM($T$23:$T$82)-S88)/(SUM($U$23:$U$82)-S89))</f>
        <v>12</v>
      </c>
      <c r="T90" s="10"/>
    </row>
    <row r="91" customFormat="false" ht="12.75" hidden="false" customHeight="false" outlineLevel="0" collapsed="false">
      <c r="Q91" s="217" t="s">
        <v>100</v>
      </c>
      <c r="R91" s="217"/>
      <c r="S91" s="217" t="str">
        <f aca="false">INDEX('[1]liste reference'!$A$8:$A$904,$T$91)</f>
        <v>CINAQU</v>
      </c>
      <c r="T91" s="10" t="n">
        <f aca="false">IF(ISERROR(MATCH($S$93,'[1]liste reference'!$A$8:$A$904,0)),MATCH($S$93,'[1]liste reference'!$B$8:$B$904,0),(MATCH($S$93,'[1]liste reference'!$A$8:$A$904,0)))</f>
        <v>170</v>
      </c>
      <c r="U91" s="257"/>
    </row>
    <row r="92" customFormat="false" ht="12.75" hidden="false" customHeight="false" outlineLevel="0" collapsed="false">
      <c r="Q92" s="10" t="s">
        <v>101</v>
      </c>
      <c r="R92" s="10"/>
      <c r="S92" s="10" t="n">
        <f aca="false">MATCH(S87,$S$23:$S$82,0)</f>
        <v>7</v>
      </c>
      <c r="T92" s="10"/>
    </row>
    <row r="93" customFormat="false" ht="12.75" hidden="false" customHeight="false" outlineLevel="0" collapsed="false">
      <c r="Q93" s="217" t="s">
        <v>102</v>
      </c>
      <c r="R93" s="10"/>
      <c r="S93" s="217" t="str">
        <f aca="false">INDEX($A$23:$A$82,$S$92)</f>
        <v>CINAQU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2014-02-25T18:38:44Z</dcterms:created>
  <dc:creator>Laurent Bourgoin</dc:creator>
  <dc:description/>
  <dc:language>fr-FR</dc:language>
  <cp:lastModifiedBy>Laurent Bourgoin</cp:lastModifiedBy>
  <dcterms:modified xsi:type="dcterms:W3CDTF">2014-02-25T18:38:57Z</dcterms:modified>
  <cp:revision>0</cp:revision>
  <dc:subject/>
  <dc:title/>
</cp:coreProperties>
</file>