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<sst xmlns="http://schemas.openxmlformats.org/spreadsheetml/2006/main" count="102" uniqueCount="98">
  <si>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</si>
  <si>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</si>
  <si>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</si>
  <si>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</si>
  <si>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</si>
  <si>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Furan</t>
  </si>
  <si>
    <t xml:space="preserve">Furans à La Burbanche</t>
  </si>
  <si>
    <t xml:space="preserve">06076720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</si>
  <si>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</si>
  <si>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</si>
  <si>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</si>
  <si>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</si>
  <si>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</si>
  <si>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</si>
  <si>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</si>
  <si>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</si>
  <si>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</si>
  <si>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</si>
  <si>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</si>
  <si>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</si>
  <si>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</si>
  <si>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</si>
  <si>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</si>
  <si>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</si>
  <si>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</si>
  <si>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</si>
  <si>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</si>
  <si>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</si>
  <si>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</si>
  <si>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</si>
  <si>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</si>
  <si>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</si>
  <si>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</si>
  <si>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 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</si>
  <si>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</si>
  <si>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</si>
  <si>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</si>
  <si>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</si>
  <si>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</si>
  <si>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</si>
  <si>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</si>
  <si>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</si>
  <si>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</si>
  <si>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</si>
  <si>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</si>
  <si>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</si>
  <si>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</si>
  <si>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</si>
  <si>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</si>
  <si>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</si>
  <si>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</si>
  <si>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</si>
  <si>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</si>
  <si>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</si>
  <si>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</si>
  <si>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</si>
  <si>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</si>
  <si>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</si>
  <si>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</si>
  <si>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</si>
  <si>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</si>
  <si>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</si>
  <si>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</si>
  <si>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</si>
  <si>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</si>
  <si>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</si>
  <si>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</si>
  <si>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</si>
  <si>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</si>
  <si>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</si>
  <si>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</si>
  <si>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</si>
  <si>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</si>
  <si>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</si>
  <si>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</si>
  <si>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</si>
  <si>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</si>
  <si>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</si>
  <si>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</si>
  <si>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</si>
  <si>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CLASPX</t>
  </si>
  <si>
    <t xml:space="preserve">LYNSPX</t>
  </si>
  <si>
    <t xml:space="preserve">MICSPX</t>
  </si>
  <si>
    <t xml:space="preserve">VAUSPX</t>
  </si>
  <si>
    <t xml:space="preserve">PELEND</t>
  </si>
  <si>
    <t xml:space="preserve">AMBRIP</t>
  </si>
  <si>
    <t xml:space="preserve">FISCRA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</si>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</sst>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FUBUR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10.1935483870968</v>
      </c>
      <c r="M5" s="53"/>
      <c r="N5" s="54" t="s">
        <v>16</v>
      </c>
      <c r="O5" s="55" t="n">
        <v>9.04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40</v>
      </c>
      <c r="C7" s="67" t="n">
        <v>60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10.2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26.07</v>
      </c>
      <c r="C9" s="87" t="n">
        <v>9.03</v>
      </c>
      <c r="D9" s="88"/>
      <c r="E9" s="88"/>
      <c r="F9" s="89" t="n">
        <f aca="false">($B9*$B$7+$C9*$C$7)/100</f>
        <v>15.846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3.86781592116274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6</v>
      </c>
      <c r="C12" s="119" t="n">
        <v>5.03</v>
      </c>
      <c r="D12" s="111"/>
      <c r="E12" s="111"/>
      <c r="F12" s="112" t="n">
        <f aca="false">($B12*$B$7+$C12*$C$7)/100</f>
        <v>5.418</v>
      </c>
      <c r="G12" s="120"/>
      <c r="H12" s="68"/>
      <c r="I12" s="121" t="s">
        <v>40</v>
      </c>
      <c r="J12" s="121"/>
      <c r="K12" s="115" t="n">
        <f aca="false">COUNTIF($G$23:$G$82,"=ALG")</f>
        <v>5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 t="n">
        <v>20.07</v>
      </c>
      <c r="C13" s="119" t="n">
        <v>4</v>
      </c>
      <c r="D13" s="111"/>
      <c r="E13" s="111"/>
      <c r="F13" s="112" t="n">
        <f aca="false">($B13*$B$7+$C13*$C$7)/100</f>
        <v>10.428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6</v>
      </c>
      <c r="L13" s="116"/>
      <c r="M13" s="127" t="s">
        <v>43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0</v>
      </c>
      <c r="L14" s="116"/>
      <c r="M14" s="131" t="s">
        <v>46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49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26.07</v>
      </c>
      <c r="C17" s="119" t="n">
        <v>9.03</v>
      </c>
      <c r="D17" s="111"/>
      <c r="E17" s="111"/>
      <c r="F17" s="143"/>
      <c r="G17" s="112" t="n">
        <f aca="false">($B17*$B$7+$C17*$C$7)/100</f>
        <v>15.846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/>
      <c r="D18" s="111"/>
      <c r="E18" s="147" t="s">
        <v>55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15.846</v>
      </c>
      <c r="G19" s="156" t="n">
        <f aca="false">SUM(G16:G18)</f>
        <v>15.846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26.07</v>
      </c>
      <c r="C20" s="166" t="n">
        <f aca="false">SUM(C23:C82)</f>
        <v>9.03</v>
      </c>
      <c r="D20" s="167"/>
      <c r="E20" s="168" t="s">
        <v>55</v>
      </c>
      <c r="F20" s="169" t="n">
        <f aca="false">($B20*$B$7+$C20*$C$7)/100</f>
        <v>15.846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10.428</v>
      </c>
      <c r="C21" s="179" t="n">
        <f aca="false">C20*C7/100</f>
        <v>5.418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15.846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0</v>
      </c>
      <c r="C23" s="206" t="n">
        <v>0.01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Batrachospermum sp.</v>
      </c>
      <c r="E23" s="207" t="e">
        <f aca="false">IF(D23="",0,VLOOKUP(D23,D$22:D22,1,0))</f>
        <v>#N/A</v>
      </c>
      <c r="F23" s="208" t="n">
        <f aca="false">($B23*$B$7+$C23*$C$7)/100</f>
        <v>0.006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Batrachospermum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1155</v>
      </c>
      <c r="Q23" s="216" t="n">
        <f aca="false">IF(ISTEXT(H23),"",(B23*$B$7/100)+(C23*$C$7/100))</f>
        <v>0.006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16</v>
      </c>
      <c r="T23" s="217" t="n">
        <f aca="false">IF(ISERROR(R23*I23*J23),0,R23*I23*J23)</f>
        <v>32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BATSPX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80</v>
      </c>
      <c r="B24" s="224" t="n">
        <v>6</v>
      </c>
      <c r="C24" s="225" t="n">
        <v>3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4.2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6" t="n">
        <f aca="false">IF(ISTEXT(H24),"",(B24*$B$7/100)+(C24*$C$7/100))</f>
        <v>4.2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18</v>
      </c>
      <c r="T24" s="217" t="n">
        <f aca="false">IF(ISERROR(R24*I24*J24),0,R24*I24*J24)</f>
        <v>18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81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Lyngbya sp.</v>
      </c>
      <c r="E25" s="226" t="e">
        <f aca="false">IF(D25="",0,VLOOKUP(D25,D$22:D24,1,0))</f>
        <v>#N/A</v>
      </c>
      <c r="F25" s="227" t="n">
        <f aca="false">($B25*$B$7+$C25*$C$7)/100</f>
        <v>0.006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Lyngbya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1107</v>
      </c>
      <c r="Q25" s="216" t="n">
        <f aca="false">IF(ISTEXT(H25),"",(B25*$B$7/100)+(C25*$C$7/100))</f>
        <v>0.006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10</v>
      </c>
      <c r="T25" s="217" t="n">
        <f aca="false">IF(ISERROR(R25*I25*J25),0,R25*I25*J25)</f>
        <v>20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LYNSPX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82</v>
      </c>
      <c r="B26" s="224" t="n">
        <v>0</v>
      </c>
      <c r="C26" s="225" t="n">
        <v>0.4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Microspora sp.</v>
      </c>
      <c r="E26" s="226" t="e">
        <f aca="false">IF(D26="",0,VLOOKUP(D26,D$22:D25,1,0))</f>
        <v>#N/A</v>
      </c>
      <c r="F26" s="227" t="n">
        <f aca="false">($B26*$B$7+$C26*$C$7)/100</f>
        <v>0.24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Microspora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1132</v>
      </c>
      <c r="Q26" s="216" t="n">
        <f aca="false">IF(ISTEXT(H26),"",(B26*$B$7/100)+(C26*$C$7/100))</f>
        <v>0.24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24</v>
      </c>
      <c r="T26" s="217" t="n">
        <f aca="false">IF(ISERROR(R26*I26*J26),0,R26*I26*J26)</f>
        <v>48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MICSPX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41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83</v>
      </c>
      <c r="B27" s="224" t="n">
        <v>0</v>
      </c>
      <c r="C27" s="225" t="n">
        <v>1.61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0.966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4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6193</v>
      </c>
      <c r="Q27" s="216" t="n">
        <f aca="false">IF(ISTEXT(H27),"",(B27*$B$7/100)+(C27*$C$7/100))</f>
        <v>0.966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8</v>
      </c>
      <c r="T27" s="217" t="n">
        <f aca="false">IF(ISERROR(R27*I27*J27),0,R27*I27*J27)</f>
        <v>8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VAUSPX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84</v>
      </c>
      <c r="B28" s="224" t="n">
        <v>0.01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Pellia endiviifolia</v>
      </c>
      <c r="E28" s="226" t="e">
        <f aca="false">IF(D28="",0,VLOOKUP(D28,D$22:D27,1,0))</f>
        <v>#N/A</v>
      </c>
      <c r="F28" s="227" t="n">
        <f aca="false">($B28*$B$7+$C28*$C$7)/100</f>
        <v>0.004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BRh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4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Pellia endiviifolia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1197</v>
      </c>
      <c r="Q28" s="216" t="n">
        <f aca="false">IF(ISTEXT(H28),"",(B28*$B$7/100)+(C28*$C$7/100))</f>
        <v>0.004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PELEND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120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85</v>
      </c>
      <c r="B29" s="224" t="n">
        <v>3</v>
      </c>
      <c r="C29" s="225" t="n">
        <v>0.5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1.5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1219</v>
      </c>
      <c r="Q29" s="216" t="n">
        <f aca="false">IF(ISTEXT(H29),"",(B29*$B$7/100)+(C29*$C$7/100))</f>
        <v>1.5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15</v>
      </c>
      <c r="T29" s="217" t="n">
        <f aca="false">IF(ISERROR(R29*I29*J29),0,R29*I29*J29)</f>
        <v>30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16</v>
      </c>
      <c r="B30" s="224" t="n">
        <v>12</v>
      </c>
      <c r="C30" s="225" t="n">
        <v>3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Cinclidotus aquaticus</v>
      </c>
      <c r="E30" s="226" t="e">
        <f aca="false">IF(D30="",0,VLOOKUP(D30,D$22:D29,1,0))</f>
        <v>#N/A</v>
      </c>
      <c r="F30" s="227" t="n">
        <f aca="false">($B30*$B$7+$C30*$C$7)/100</f>
        <v>6.6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Cinclidotus aquaticus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1318</v>
      </c>
      <c r="Q30" s="216" t="n">
        <f aca="false">IF(ISTEXT(H30),"",(B30*$B$7/100)+(C30*$C$7/100))</f>
        <v>6.6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45</v>
      </c>
      <c r="T30" s="217" t="n">
        <f aca="false">IF(ISERROR(R30*I30*J30),0,R30*I30*J30)</f>
        <v>90</v>
      </c>
      <c r="U30" s="229" t="n">
        <f aca="false">IF(ISERROR(R30*J30),0,R30*J30)</f>
        <v>6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CINAQU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0.01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Fissidens crassipes</v>
      </c>
      <c r="E31" s="226" t="e">
        <f aca="false">IF(D31="",0,VLOOKUP(D31,D$22:D30,1,0))</f>
        <v>#N/A</v>
      </c>
      <c r="F31" s="227" t="n">
        <f aca="false">($B31*$B$7+$C31*$C$7)/100</f>
        <v>0.004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Fissidens crassipes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1294</v>
      </c>
      <c r="Q31" s="216" t="n">
        <f aca="false">IF(ISTEXT(H31),"",(B31*$B$7/100)+(C31*$C$7/100))</f>
        <v>0.004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24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FISCRA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197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0.05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Fontinalis antipyretica</v>
      </c>
      <c r="E32" s="226" t="e">
        <f aca="false">IF(D32="",0,VLOOKUP(D32,D$22:D31,1,0))</f>
        <v>#N/A</v>
      </c>
      <c r="F32" s="227" t="n">
        <f aca="false">($B32*$B$7+$C32*$C$7)/100</f>
        <v>0.02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Fontinalis antipyretica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1310</v>
      </c>
      <c r="Q32" s="216" t="n">
        <f aca="false">IF(ISTEXT(H32),"",(B32*$B$7/100)+(C32*$C$7/100))</f>
        <v>0.02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10</v>
      </c>
      <c r="T32" s="217" t="n">
        <f aca="false">IF(ISERROR(R32*I32*J32),0,R32*I32*J32)</f>
        <v>10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FONANT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210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5</v>
      </c>
      <c r="C33" s="225" t="n">
        <v>0.5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Rhynchostegium riparioides</v>
      </c>
      <c r="E33" s="226" t="e">
        <f aca="false">IF(D33="",0,VLOOKUP(D33,D$22:D32,1,0))</f>
        <v>#N/A</v>
      </c>
      <c r="F33" s="227" t="n">
        <f aca="false">($B33*$B$7+$C33*$C$7)/100</f>
        <v>2.3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12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Rhynchostegium riparioides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1268</v>
      </c>
      <c r="Q33" s="216" t="n">
        <f aca="false">IF(ISTEXT(H33),"",(B33*$B$7/100)+(C33*$C$7/100))</f>
        <v>2.3</v>
      </c>
      <c r="R33" s="217" t="n">
        <f aca="false">IF(OR(ISTEXT(H33),Q33=0),"",IF(Q33&lt;0.1,1,IF(Q33&lt;1,2,IF(Q33&lt;10,3,IF(Q33&lt;50,4,IF(Q33&gt;=50,5,""))))))</f>
        <v>3</v>
      </c>
      <c r="S33" s="217" t="n">
        <f aca="false">IF(ISERROR(R33*I33),0,R33*I33)</f>
        <v>36</v>
      </c>
      <c r="T33" s="217" t="n">
        <f aca="false">IF(ISERROR(R33*I33*J33),0,R33*I33*J33)</f>
        <v>36</v>
      </c>
      <c r="U33" s="229" t="n">
        <f aca="false">IF(ISERROR(R33*J33),0,R33*J33)</f>
        <v>3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RHYRIP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252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Furan</v>
      </c>
      <c r="B84" s="259" t="str">
        <f aca="false">C3</f>
        <v>Furans à La Burbanche</v>
      </c>
      <c r="C84" s="260" t="n">
        <f aca="false">A4</f>
        <v>41808</v>
      </c>
      <c r="D84" s="261" t="n">
        <f aca="false">IF(ISERROR(SUM($T$23:$T$82)/SUM($U$23:$U$82)),"",SUM($T$23:$T$82)/SUM($U$23:$U$82))</f>
        <v>10.1935483870968</v>
      </c>
      <c r="E84" s="262" t="n">
        <f aca="false">N13</f>
        <v>11</v>
      </c>
      <c r="F84" s="259" t="n">
        <f aca="false">N14</f>
        <v>10</v>
      </c>
      <c r="G84" s="259" t="n">
        <f aca="false">N15</f>
        <v>4</v>
      </c>
      <c r="H84" s="259" t="n">
        <f aca="false">N16</f>
        <v>6</v>
      </c>
      <c r="I84" s="259" t="n">
        <f aca="false">N17</f>
        <v>0</v>
      </c>
      <c r="J84" s="263" t="n">
        <f aca="false">N8</f>
        <v>10.2</v>
      </c>
      <c r="K84" s="261" t="n">
        <f aca="false">N9</f>
        <v>3.86781592116274</v>
      </c>
      <c r="L84" s="262" t="n">
        <f aca="false">N10</f>
        <v>4</v>
      </c>
      <c r="M84" s="262" t="n">
        <f aca="false">N11</f>
        <v>16</v>
      </c>
      <c r="N84" s="261" t="n">
        <f aca="false">O8</f>
        <v>1.6</v>
      </c>
      <c r="O84" s="261" t="n">
        <f aca="false">O9</f>
        <v>0.489897948556636</v>
      </c>
      <c r="P84" s="262" t="n">
        <f aca="false">O10</f>
        <v>1</v>
      </c>
      <c r="Q84" s="262" t="n">
        <f aca="false">O11</f>
        <v>2</v>
      </c>
      <c r="R84" s="262" t="n">
        <f aca="false">F21</f>
        <v>15.846</v>
      </c>
      <c r="S84" s="262" t="n">
        <f aca="false">K11</f>
        <v>0</v>
      </c>
      <c r="T84" s="262" t="n">
        <f aca="false">K12</f>
        <v>5</v>
      </c>
      <c r="U84" s="262" t="n">
        <f aca="false">K13</f>
        <v>6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90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8" t="n">
        <f aca="false">IF(ISERROR(SUM($T$23:$T$82)/SUM($U$23:$U$82)),"",(SUM($T$23:$T$82)-S88)/(SUM($U$23:$U$82)-S89))</f>
        <v>9.04</v>
      </c>
      <c r="T90" s="10"/>
    </row>
    <row r="91" customFormat="false" ht="12.75" hidden="false" customHeight="false" outlineLevel="0" collapsed="false">
      <c r="Q91" s="217" t="s">
        <v>95</v>
      </c>
      <c r="R91" s="217"/>
      <c r="S91" s="217" t="str">
        <f aca="false">INDEX('[2]liste reference'!$A$8:$A$904,$T$91)</f>
        <v>CINAQU</v>
      </c>
      <c r="T91" s="10" t="n">
        <f aca="false">IF(ISERROR(MATCH($S$93,'[2]liste reference'!$A$8:$A$904,0)),MATCH($S$93,'[2]liste reference'!$B$8:$B$904,0),(MATCH($S$93,'[2]liste reference'!$A$8:$A$904,0)))</f>
        <v>170</v>
      </c>
      <c r="U91" s="257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7" t="s">
        <v>97</v>
      </c>
      <c r="R93" s="10"/>
      <c r="S93" s="217" t="str">
        <f aca="false">INDEX($A$23:$A$82,$S$92)</f>
        <v>CINAQU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2014-12-15T12:23:08Z</dcterms:created>
  <dc:creator>Laurent Bourgoin</dc:creator>
  <dc:description/>
  <dc:language>fr-FR</dc:language>
  <cp:lastModifiedBy>Laurent Bourgoin</cp:lastModifiedBy>
  <dcterms:modified xsi:type="dcterms:W3CDTF">2014-12-15T12:23:25Z</dcterms:modified>
  <cp:revision>0</cp:revision>
  <dc:subject/>
  <dc:title/>
</cp:coreProperties>
</file>