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<sst xmlns="http://schemas.openxmlformats.org/spreadsheetml/2006/main" count="165" uniqueCount="99">
  <si>
    <t xml:space="preserve">Relevés floristiques aquatiques - IBMR</t>
  </si>
  <si>
    <t xml:space="preserve">modèle Irstea-GIS</t>
  </si>
  <si>
    <t xml:space="preserve">SAGE ENVIRONNEMENT</t>
  </si>
  <si>
    <t xml:space="preserve">LBOURGOIN MSCHNEIDER</t>
  </si>
  <si>
    <t xml:space="preserve">FURANS</t>
  </si>
  <si>
    <t xml:space="preserve">FURANS A BURBANCHE</t>
  </si>
  <si>
    <t xml:space="preserve">06076720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</si>
  <si>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</si>
  <si>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</si>
  <si>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</si>
  <si>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</si>
  <si>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</si>
  <si>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</si>
  <si>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</si>
  <si>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</si>
  <si>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</si>
  <si>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CINAQU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</si>
  <si>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</si>
  <si>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</si>
  <si>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</si>
  <si>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</si>
  <si>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</si>
  <si>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</si>
  <si>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</si>
  <si>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</si>
  <si>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</si>
  <si>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</si>
  <si>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</si>
  <si>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</si>
  <si>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</si>
  <si>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</si>
  <si>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</si>
  <si>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</si>
  <si>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</si>
  <si>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</si>
  <si>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</si>
  <si>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</si>
  <si>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</si>
  <si>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</si>
  <si>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</si>
  <si>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</si>
  <si>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</si>
  <si>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</si>
  <si>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</si>
  <si>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</si>
  <si>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</si>
  <si>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</si>
  <si>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</si>
  <si>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</si>
  <si>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</si>
  <si>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</si>
  <si>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</si>
  <si>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</si>
  <si>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</si>
  <si>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</si>
  <si>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</si>
  <si>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</si>
  <si>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</si>
  <si>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</si>
  <si>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</si>
  <si>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</si>
  <si>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</si>
  <si>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</si>
  <si>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</si>
  <si>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</si>
  <si>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</si>
  <si>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</si>
  <si>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</si>
  <si>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</si>
  <si>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</si>
  <si>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</si>
  <si>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</si>
  <si>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</si>
  <si>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</si>
  <si>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</si>
  <si>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</si>
  <si>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</si>
  <si>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</si>
  <si>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</si>
  <si>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</si>
  <si>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</si>
  <si>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LETSPX</t>
  </si>
  <si>
    <t xml:space="preserve">MELSPX</t>
  </si>
  <si>
    <t xml:space="preserve">MICSPX</t>
  </si>
  <si>
    <t xml:space="preserve">VAUSPX</t>
  </si>
  <si>
    <t xml:space="preserve">PELEND</t>
  </si>
  <si>
    <t xml:space="preserve">BRARIV</t>
  </si>
  <si>
    <t xml:space="preserve">CINRIP</t>
  </si>
  <si>
    <t xml:space="preserve">FONANT</t>
  </si>
  <si>
    <t xml:space="preserve">HYATEN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</si>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</sst>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FUBUR_09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42164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11.9310344827586</v>
      </c>
      <c r="N5" s="51"/>
      <c r="O5" s="52" t="s">
        <v>16</v>
      </c>
      <c r="P5" s="53" t="n">
        <v>11.1304347826087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55</v>
      </c>
      <c r="C7" s="69" t="n">
        <v>45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11.2</v>
      </c>
      <c r="P8" s="83" t="n">
        <f aca="false">IF(ISERROR(AVERAGE(K23:K82)),"  ",AVERAGE(K23:K82))</f>
        <v>1.5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18.15</v>
      </c>
      <c r="C9" s="86" t="n">
        <v>5.75</v>
      </c>
      <c r="D9" s="87"/>
      <c r="E9" s="87"/>
      <c r="F9" s="88" t="n">
        <f aca="false">($B9*$B$7+$C9*$C$7)/100</f>
        <v>12.57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3.6</v>
      </c>
      <c r="P9" s="83" t="n">
        <f aca="false">IF(ISERROR(STDEVP(K23:K82)),"  ",STDEVP(K23:K82))</f>
        <v>0.5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 t="s">
        <v>31</v>
      </c>
      <c r="C10" s="94" t="s">
        <v>31</v>
      </c>
      <c r="D10" s="87"/>
      <c r="E10" s="87"/>
      <c r="F10" s="88"/>
      <c r="G10" s="89"/>
      <c r="H10" s="57"/>
      <c r="I10" s="8"/>
      <c r="J10" s="95"/>
      <c r="K10" s="96" t="s">
        <v>32</v>
      </c>
      <c r="L10" s="97"/>
      <c r="M10" s="98"/>
      <c r="N10" s="82" t="s">
        <v>33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34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35</v>
      </c>
      <c r="K11" s="106"/>
      <c r="L11" s="107" t="n">
        <f aca="false">COUNTIF($G$23:$G$82,"=HET")</f>
        <v>0</v>
      </c>
      <c r="M11" s="108"/>
      <c r="N11" s="82" t="s">
        <v>36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37</v>
      </c>
      <c r="B12" s="110" t="n">
        <v>5.51</v>
      </c>
      <c r="C12" s="111" t="n">
        <v>2.61</v>
      </c>
      <c r="D12" s="87"/>
      <c r="E12" s="87"/>
      <c r="F12" s="104" t="n">
        <f aca="false">($B12*$B$7+$C12*$C$7)/100</f>
        <v>4.205</v>
      </c>
      <c r="G12" s="105"/>
      <c r="H12" s="57"/>
      <c r="I12" s="8"/>
      <c r="J12" s="106" t="s">
        <v>38</v>
      </c>
      <c r="K12" s="106"/>
      <c r="L12" s="107" t="n">
        <f aca="false">COUNTIF($G$23:$G$82,"=ALG")</f>
        <v>5</v>
      </c>
      <c r="M12" s="108"/>
      <c r="N12" s="112"/>
      <c r="O12" s="113" t="s">
        <v>32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39</v>
      </c>
      <c r="B13" s="110" t="n">
        <v>12.64</v>
      </c>
      <c r="C13" s="111" t="n">
        <v>3.14</v>
      </c>
      <c r="D13" s="87"/>
      <c r="E13" s="87"/>
      <c r="F13" s="104" t="n">
        <f aca="false">($B13*$B$7+$C13*$C$7)/100</f>
        <v>8.365</v>
      </c>
      <c r="G13" s="105"/>
      <c r="H13" s="57"/>
      <c r="I13" s="8"/>
      <c r="J13" s="106" t="s">
        <v>40</v>
      </c>
      <c r="K13" s="106"/>
      <c r="L13" s="107" t="n">
        <f aca="false">COUNTIF($G$23:$G$82,"=BRm")+COUNTIF($G$23:$G$82,"=BRh")</f>
        <v>7</v>
      </c>
      <c r="M13" s="108"/>
      <c r="N13" s="116" t="s">
        <v>41</v>
      </c>
      <c r="O13" s="117" t="n">
        <f aca="false">COUNTIF(F23:F82,"&gt;0")</f>
        <v>12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42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43</v>
      </c>
      <c r="K14" s="106"/>
      <c r="L14" s="107" t="n">
        <f aca="false">COUNTIF($G$23:$G$82,"=PTE")+COUNTIF($G$23:$G$82,"=LIC")</f>
        <v>0</v>
      </c>
      <c r="M14" s="108"/>
      <c r="N14" s="119" t="s">
        <v>44</v>
      </c>
      <c r="O14" s="120" t="n">
        <f aca="false">COUNTIF($J$23:$J$82,"&gt;-1")</f>
        <v>10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45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46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47</v>
      </c>
      <c r="O15" s="117" t="n">
        <f aca="false">COUNTIF(K23:K82,"=1")</f>
        <v>5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48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49</v>
      </c>
      <c r="O16" s="117" t="n">
        <f aca="false">COUNTIF(K23:K82,"=2")</f>
        <v>5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50</v>
      </c>
      <c r="B17" s="110" t="n">
        <v>18.15</v>
      </c>
      <c r="C17" s="111" t="n">
        <v>5.75</v>
      </c>
      <c r="D17" s="87"/>
      <c r="E17" s="87"/>
      <c r="F17" s="129"/>
      <c r="G17" s="130" t="n">
        <f aca="false">($B17*$B$7+$C17*$C$7)/100</f>
        <v>12.57</v>
      </c>
      <c r="H17" s="57"/>
      <c r="I17" s="8"/>
      <c r="J17" s="131"/>
      <c r="K17" s="132"/>
      <c r="L17" s="133" t="s">
        <v>51</v>
      </c>
      <c r="M17" s="134" t="n">
        <f aca="false">IF(ISERROR((O13-(COUNTIF(J23:J82,"nc")))/O13),"-",(O13-(COUNTIF(J23:J82,"nc")))/O13)</f>
        <v>0.833333333333333</v>
      </c>
      <c r="N17" s="116" t="s">
        <v>52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53</v>
      </c>
      <c r="B18" s="137"/>
      <c r="C18" s="138"/>
      <c r="D18" s="87"/>
      <c r="E18" s="139" t="s">
        <v>54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12.57</v>
      </c>
      <c r="G19" s="150" t="n">
        <f aca="false">SUM(G16:G18)</f>
        <v>12.57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55</v>
      </c>
      <c r="B20" s="159" t="n">
        <f aca="false">SUM(B23:B62)</f>
        <v>18.15</v>
      </c>
      <c r="C20" s="160" t="n">
        <f aca="false">SUM(C23:C62)</f>
        <v>5.75</v>
      </c>
      <c r="D20" s="161"/>
      <c r="E20" s="162" t="s">
        <v>54</v>
      </c>
      <c r="F20" s="163" t="n">
        <f aca="false">($B20*$B$7+$C20*$C$7)/100</f>
        <v>12.57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56</v>
      </c>
      <c r="B21" s="171" t="n">
        <f aca="false">B20*B7/100</f>
        <v>9.9825</v>
      </c>
      <c r="C21" s="171" t="n">
        <f aca="false">C20*C7/100</f>
        <v>2.5875</v>
      </c>
      <c r="D21" s="172" t="s">
        <v>57</v>
      </c>
      <c r="E21" s="173"/>
      <c r="F21" s="174" t="n">
        <f aca="false">B21+C21</f>
        <v>12.57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58</v>
      </c>
    </row>
    <row r="22" customFormat="false" ht="12.75" hidden="false" customHeight="false" outlineLevel="0" collapsed="false">
      <c r="A22" s="183" t="s">
        <v>59</v>
      </c>
      <c r="B22" s="184" t="s">
        <v>60</v>
      </c>
      <c r="C22" s="184" t="s">
        <v>60</v>
      </c>
      <c r="D22" s="185"/>
      <c r="E22" s="186"/>
      <c r="F22" s="187" t="s">
        <v>61</v>
      </c>
      <c r="G22" s="188" t="s">
        <v>62</v>
      </c>
      <c r="H22" s="87" t="s">
        <v>63</v>
      </c>
      <c r="I22" s="8" t="s">
        <v>64</v>
      </c>
      <c r="J22" s="189" t="s">
        <v>65</v>
      </c>
      <c r="K22" s="189" t="s">
        <v>66</v>
      </c>
      <c r="L22" s="190" t="s">
        <v>67</v>
      </c>
      <c r="M22" s="190"/>
      <c r="N22" s="190"/>
      <c r="O22" s="190"/>
      <c r="P22" s="182" t="s">
        <v>68</v>
      </c>
      <c r="Q22" s="191" t="s">
        <v>69</v>
      </c>
      <c r="R22" s="192" t="s">
        <v>70</v>
      </c>
      <c r="S22" s="193" t="s">
        <v>71</v>
      </c>
      <c r="T22" s="194" t="s">
        <v>72</v>
      </c>
      <c r="U22" s="194" t="s">
        <v>73</v>
      </c>
      <c r="V22" s="195" t="s">
        <v>74</v>
      </c>
      <c r="W22" s="196" t="s">
        <v>75</v>
      </c>
      <c r="X22" s="196" t="s">
        <v>76</v>
      </c>
      <c r="Y22" s="197" t="s">
        <v>77</v>
      </c>
      <c r="Z22" s="197" t="s">
        <v>78</v>
      </c>
    </row>
    <row r="23" customFormat="false" ht="12.75" hidden="false" customHeight="false" outlineLevel="0" collapsed="false">
      <c r="A23" s="198" t="s">
        <v>79</v>
      </c>
      <c r="B23" s="199" t="n">
        <v>4.9</v>
      </c>
      <c r="C23" s="200" t="n">
        <v>0.05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2.7175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80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2.7175</v>
      </c>
      <c r="S23" s="212" t="n">
        <f aca="false">IF(OR(ISTEXT(H23),R23=0),"",IF(R23&lt;0.1,1,IF(R23&lt;1,2,IF(R23&lt;10,3,IF(R23&lt;50,4,IF(R23&gt;=50,5,""))))))</f>
        <v>3</v>
      </c>
      <c r="T23" s="212" t="n">
        <f aca="false">IF(ISERROR(S23*J23),0,S23*J23)</f>
        <v>18</v>
      </c>
      <c r="U23" s="212" t="n">
        <f aca="false">IF(ISERROR(S23*J23*K23),0,S23*J23*K23)</f>
        <v>18</v>
      </c>
      <c r="V23" s="212" t="n">
        <f aca="false">IF(ISERROR(S23*K23),0,S23*K23)</f>
        <v>3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81</v>
      </c>
      <c r="B24" s="217" t="n">
        <v>0.01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Leptolyngbya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0.01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str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nc</v>
      </c>
      <c r="K24" s="224" t="str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nc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Leptolyngbya sp.</v>
      </c>
      <c r="M24" s="225"/>
      <c r="N24" s="225"/>
      <c r="O24" s="225"/>
      <c r="P24" s="226" t="s">
        <v>80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6449</v>
      </c>
      <c r="R24" s="211" t="n">
        <f aca="false">IF(ISTEXT(H24),"",(B24*$B$7/100)+(C24*$C$7/100))</f>
        <v>0.01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0</v>
      </c>
      <c r="U24" s="212" t="n">
        <f aca="false">IF(ISERROR(S24*J24*K24),0,S24*J24*K24)</f>
        <v>0</v>
      </c>
      <c r="V24" s="228" t="n">
        <f aca="false">IF(ISERROR(S24*K24),0,S24*K24)</f>
        <v>0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LETSPX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60</v>
      </c>
    </row>
    <row r="25" customFormat="false" ht="12.75" hidden="false" customHeight="false" outlineLevel="0" collapsed="false">
      <c r="A25" s="216" t="s">
        <v>82</v>
      </c>
      <c r="B25" s="217" t="n">
        <v>0</v>
      </c>
      <c r="C25" s="218" t="n">
        <v>0.05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Melosira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0.0225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10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Melosira sp.</v>
      </c>
      <c r="M25" s="225"/>
      <c r="N25" s="225"/>
      <c r="O25" s="225"/>
      <c r="P25" s="226" t="s">
        <v>80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8714</v>
      </c>
      <c r="R25" s="211" t="n">
        <f aca="false">IF(ISTEXT(H25),"",(B25*$B$7/100)+(C25*$C$7/100))</f>
        <v>0.0225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10</v>
      </c>
      <c r="U25" s="212" t="n">
        <f aca="false">IF(ISERROR(S25*J25*K25),0,S25*J25*K25)</f>
        <v>10</v>
      </c>
      <c r="V25" s="228" t="n">
        <f aca="false">IF(ISERROR(S25*K25),0,S25*K25)</f>
        <v>1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MELSPX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62</v>
      </c>
    </row>
    <row r="26" customFormat="false" ht="12.75" hidden="false" customHeight="false" outlineLevel="0" collapsed="false">
      <c r="A26" s="216" t="s">
        <v>83</v>
      </c>
      <c r="B26" s="217" t="n">
        <v>0.1</v>
      </c>
      <c r="C26" s="218" t="n">
        <v>0.075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Microspora sp.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0.08875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ALG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2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12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Microspora sp.</v>
      </c>
      <c r="M26" s="225"/>
      <c r="N26" s="225"/>
      <c r="O26" s="225"/>
      <c r="P26" s="226" t="s">
        <v>80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1132</v>
      </c>
      <c r="R26" s="211" t="n">
        <f aca="false">IF(ISTEXT(H26),"",(B26*$B$7/100)+(C26*$C$7/100))</f>
        <v>0.08875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12</v>
      </c>
      <c r="U26" s="212" t="n">
        <f aca="false">IF(ISERROR(S26*J26*K26),0,S26*J26*K26)</f>
        <v>24</v>
      </c>
      <c r="V26" s="228" t="n">
        <f aca="false">IF(ISERROR(S26*K26),0,S26*K26)</f>
        <v>2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MICSPX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66</v>
      </c>
    </row>
    <row r="27" customFormat="false" ht="12.75" hidden="false" customHeight="false" outlineLevel="0" collapsed="false">
      <c r="A27" s="216" t="s">
        <v>84</v>
      </c>
      <c r="B27" s="217" t="n">
        <v>0.5</v>
      </c>
      <c r="C27" s="218" t="n">
        <v>2.425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Vaucheria sp.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1.36625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ALG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2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4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1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Vaucheria sp.</v>
      </c>
      <c r="M27" s="225"/>
      <c r="N27" s="225"/>
      <c r="O27" s="225"/>
      <c r="P27" s="226" t="s">
        <v>80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1169</v>
      </c>
      <c r="R27" s="211" t="n">
        <f aca="false">IF(ISTEXT(H27),"",(B27*$B$7/100)+(C27*$C$7/100))</f>
        <v>1.36625</v>
      </c>
      <c r="S27" s="212" t="n">
        <f aca="false">IF(OR(ISTEXT(H27),R27=0),"",IF(R27&lt;0.1,1,IF(R27&lt;1,2,IF(R27&lt;10,3,IF(R27&lt;50,4,IF(R27&gt;=50,5,""))))))</f>
        <v>3</v>
      </c>
      <c r="T27" s="212" t="n">
        <f aca="false">IF(ISERROR(S27*J27),0,S27*J27)</f>
        <v>12</v>
      </c>
      <c r="U27" s="212" t="n">
        <f aca="false">IF(ISERROR(S27*J27*K27),0,S27*J27*K27)</f>
        <v>12</v>
      </c>
      <c r="V27" s="228" t="n">
        <f aca="false">IF(ISERROR(S27*K27),0,S27*K27)</f>
        <v>3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VAUSPX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118</v>
      </c>
    </row>
    <row r="28" customFormat="false" ht="12.75" hidden="false" customHeight="false" outlineLevel="0" collapsed="false">
      <c r="A28" s="216" t="s">
        <v>85</v>
      </c>
      <c r="B28" s="217" t="n">
        <v>0.01</v>
      </c>
      <c r="C28" s="218" t="n">
        <v>0.01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Pellia endiviifolia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0.01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BRh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4</v>
      </c>
      <c r="I28" s="8" t="n">
        <f aca="false">IF(A28="","",1)</f>
        <v>1</v>
      </c>
      <c r="J28" s="224" t="str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nc</v>
      </c>
      <c r="K28" s="224" t="str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nc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Pellia endiviifolia</v>
      </c>
      <c r="M28" s="225"/>
      <c r="N28" s="225"/>
      <c r="O28" s="225"/>
      <c r="P28" s="226" t="s">
        <v>80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1197</v>
      </c>
      <c r="R28" s="211" t="n">
        <f aca="false">IF(ISTEXT(H28),"",(B28*$B$7/100)+(C28*$C$7/100))</f>
        <v>0.01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0</v>
      </c>
      <c r="U28" s="212" t="n">
        <f aca="false">IF(ISERROR(S28*J28*K28),0,S28*J28*K28)</f>
        <v>0</v>
      </c>
      <c r="V28" s="228" t="n">
        <f aca="false">IF(ISERROR(S28*K28),0,S28*K28)</f>
        <v>0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PELEND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167</v>
      </c>
    </row>
    <row r="29" customFormat="false" ht="12.75" hidden="false" customHeight="false" outlineLevel="0" collapsed="false">
      <c r="A29" s="216" t="s">
        <v>86</v>
      </c>
      <c r="B29" s="217" t="n">
        <v>0.51</v>
      </c>
      <c r="C29" s="218" t="n">
        <v>0.01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Brachythecium rivulare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0.285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15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Brachythecium rivulare</v>
      </c>
      <c r="M29" s="225"/>
      <c r="N29" s="225"/>
      <c r="O29" s="225"/>
      <c r="P29" s="226" t="s">
        <v>80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1260</v>
      </c>
      <c r="R29" s="211" t="n">
        <f aca="false">IF(ISTEXT(H29),"",(B29*$B$7/100)+(C29*$C$7/100))</f>
        <v>0.285</v>
      </c>
      <c r="S29" s="212" t="n">
        <f aca="false">IF(OR(ISTEXT(H29),R29=0),"",IF(R29&lt;0.1,1,IF(R29&lt;1,2,IF(R29&lt;10,3,IF(R29&lt;50,4,IF(R29&gt;=50,5,""))))))</f>
        <v>2</v>
      </c>
      <c r="T29" s="212" t="n">
        <f aca="false">IF(ISERROR(S29*J29),0,S29*J29)</f>
        <v>30</v>
      </c>
      <c r="U29" s="212" t="n">
        <f aca="false">IF(ISERROR(S29*J29*K29),0,S29*J29*K29)</f>
        <v>60</v>
      </c>
      <c r="V29" s="228" t="n">
        <f aca="false">IF(ISERROR(S29*K29),0,S29*K29)</f>
        <v>4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BRARIV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203</v>
      </c>
    </row>
    <row r="30" customFormat="false" ht="12.75" hidden="false" customHeight="false" outlineLevel="0" collapsed="false">
      <c r="A30" s="216" t="s">
        <v>16</v>
      </c>
      <c r="B30" s="217" t="n">
        <v>7.5</v>
      </c>
      <c r="C30" s="218" t="n">
        <v>1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Cinclidotus aquaticus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4.575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15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2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Cinclidotus aquaticus</v>
      </c>
      <c r="M30" s="225"/>
      <c r="N30" s="225"/>
      <c r="O30" s="225"/>
      <c r="P30" s="226" t="s">
        <v>80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1318</v>
      </c>
      <c r="R30" s="211" t="n">
        <f aca="false">IF(ISTEXT(H30),"",(B30*$B$7/100)+(C30*$C$7/100))</f>
        <v>4.575</v>
      </c>
      <c r="S30" s="212" t="n">
        <f aca="false">IF(OR(ISTEXT(H30),R30=0),"",IF(R30&lt;0.1,1,IF(R30&lt;1,2,IF(R30&lt;10,3,IF(R30&lt;50,4,IF(R30&gt;=50,5,""))))))</f>
        <v>3</v>
      </c>
      <c r="T30" s="212" t="n">
        <f aca="false">IF(ISERROR(S30*J30),0,S30*J30)</f>
        <v>45</v>
      </c>
      <c r="U30" s="212" t="n">
        <f aca="false">IF(ISERROR(S30*J30*K30),0,S30*J30*K30)</f>
        <v>90</v>
      </c>
      <c r="V30" s="228" t="n">
        <f aca="false">IF(ISERROR(S30*K30),0,S30*K30)</f>
        <v>6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CINAQU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221</v>
      </c>
    </row>
    <row r="31" customFormat="false" ht="12.75" hidden="false" customHeight="false" outlineLevel="0" collapsed="false">
      <c r="A31" s="216" t="s">
        <v>87</v>
      </c>
      <c r="B31" s="217" t="n">
        <v>0</v>
      </c>
      <c r="C31" s="218" t="n">
        <v>0.01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Cinclidotus riparius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0.0045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BRm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5</v>
      </c>
      <c r="I31" s="8" t="n">
        <f aca="false">IF(A31="","",1)</f>
        <v>1</v>
      </c>
      <c r="J31" s="224" t="n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13</v>
      </c>
      <c r="K31" s="224" t="n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2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Cinclidotus riparius</v>
      </c>
      <c r="M31" s="225"/>
      <c r="N31" s="225"/>
      <c r="O31" s="225"/>
      <c r="P31" s="226" t="s">
        <v>80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1321</v>
      </c>
      <c r="R31" s="211" t="n">
        <f aca="false">IF(ISTEXT(H31),"",(B31*$B$7/100)+(C31*$C$7/100))</f>
        <v>0.0045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13</v>
      </c>
      <c r="U31" s="212" t="n">
        <f aca="false">IF(ISERROR(S31*J31*K31),0,S31*J31*K31)</f>
        <v>26</v>
      </c>
      <c r="V31" s="228" t="n">
        <f aca="false">IF(ISERROR(S31*K31),0,S31*K31)</f>
        <v>2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CINRIP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224</v>
      </c>
    </row>
    <row r="32" customFormat="false" ht="12.75" hidden="false" customHeight="false" outlineLevel="0" collapsed="false">
      <c r="A32" s="216" t="s">
        <v>88</v>
      </c>
      <c r="B32" s="217" t="n">
        <v>0.01</v>
      </c>
      <c r="C32" s="218" t="n">
        <v>0.01</v>
      </c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>Fontinalis antipyretica</v>
      </c>
      <c r="E32" s="220" t="e">
        <f aca="false">IF(D32="",0,VLOOKUP(D32,D$22:D31,1,0))</f>
        <v>#N/A</v>
      </c>
      <c r="F32" s="221" t="n">
        <f aca="false">IF(AND(OR(A32="",A32="!!!!!!"),B32="",C32=""),"",IF(OR(AND(B32="",C32=""),ISERROR(C32+B32)),"!!!",($B32*$B$7+$C32*$C$7)/100))</f>
        <v>0.01</v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>BRm</v>
      </c>
      <c r="H32" s="223" t="n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5</v>
      </c>
      <c r="I32" s="8" t="n">
        <f aca="false">IF(A32="","",1)</f>
        <v>1</v>
      </c>
      <c r="J32" s="224" t="n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10</v>
      </c>
      <c r="K32" s="224" t="n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1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>Fontinalis antipyretica</v>
      </c>
      <c r="M32" s="225"/>
      <c r="N32" s="225"/>
      <c r="O32" s="225"/>
      <c r="P32" s="226" t="s">
        <v>80</v>
      </c>
      <c r="Q32" s="227" t="n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>1310</v>
      </c>
      <c r="R32" s="211" t="n">
        <f aca="false">IF(ISTEXT(H32),"",(B32*$B$7/100)+(C32*$C$7/100))</f>
        <v>0.01</v>
      </c>
      <c r="S32" s="212" t="n">
        <f aca="false">IF(OR(ISTEXT(H32),R32=0),"",IF(R32&lt;0.1,1,IF(R32&lt;1,2,IF(R32&lt;10,3,IF(R32&lt;50,4,IF(R32&gt;=50,5,""))))))</f>
        <v>1</v>
      </c>
      <c r="T32" s="212" t="n">
        <f aca="false">IF(ISERROR(S32*J32),0,S32*J32)</f>
        <v>10</v>
      </c>
      <c r="U32" s="212" t="n">
        <f aca="false">IF(ISERROR(S32*J32*K32),0,S32*J32*K32)</f>
        <v>10</v>
      </c>
      <c r="V32" s="228" t="n">
        <f aca="false">IF(ISERROR(S32*K32),0,S32*K32)</f>
        <v>1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>FONANT</v>
      </c>
      <c r="Z32" s="197" t="n">
        <f aca="false">IF(ISERROR(MATCH(A32,'[1]liste reference'!$A$6:$A$1174,0)),IF(ISERROR(MATCH(A32,'[1]liste reference'!$B$6:$B$1174,0)),"",(MATCH(A32,'[1]liste reference'!$B$6:$B$1174,0))),(MATCH(A32,'[1]liste reference'!$A$6:$A$1174,0)))</f>
        <v>273</v>
      </c>
    </row>
    <row r="33" customFormat="false" ht="12.75" hidden="false" customHeight="false" outlineLevel="0" collapsed="false">
      <c r="A33" s="216" t="s">
        <v>89</v>
      </c>
      <c r="B33" s="217" t="n">
        <v>0.1</v>
      </c>
      <c r="C33" s="218" t="n">
        <v>0.1</v>
      </c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>Hygroamblystegium tenax</v>
      </c>
      <c r="E33" s="220" t="e">
        <f aca="false">IF(D33="",0,VLOOKUP(D33,D$22:D32,1,0))</f>
        <v>#N/A</v>
      </c>
      <c r="F33" s="221" t="n">
        <f aca="false">IF(AND(OR(A33="",A33="!!!!!!"),B33="",C33=""),"",IF(OR(AND(B33="",C33=""),ISERROR(C33+B33)),"!!!",($B33*$B$7+$C33*$C$7)/100))</f>
        <v>0.1</v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>BRm</v>
      </c>
      <c r="H33" s="223" t="n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5</v>
      </c>
      <c r="I33" s="8" t="n">
        <f aca="false">IF(A33="","",1)</f>
        <v>1</v>
      </c>
      <c r="J33" s="224" t="n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15</v>
      </c>
      <c r="K33" s="224" t="n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2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>Hygroamblystegium tenax</v>
      </c>
      <c r="M33" s="225"/>
      <c r="N33" s="225"/>
      <c r="O33" s="225"/>
      <c r="P33" s="226" t="s">
        <v>80</v>
      </c>
      <c r="Q33" s="227" t="n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>31552</v>
      </c>
      <c r="R33" s="211" t="n">
        <f aca="false">IF(ISTEXT(H33),"",(B33*$B$7/100)+(C33*$C$7/100))</f>
        <v>0.1</v>
      </c>
      <c r="S33" s="212" t="n">
        <f aca="false">IF(OR(ISTEXT(H33),R33=0),"",IF(R33&lt;0.1,1,IF(R33&lt;1,2,IF(R33&lt;10,3,IF(R33&lt;50,4,IF(R33&gt;=50,5,""))))))</f>
        <v>2</v>
      </c>
      <c r="T33" s="212" t="n">
        <f aca="false">IF(ISERROR(S33*J33),0,S33*J33)</f>
        <v>30</v>
      </c>
      <c r="U33" s="212" t="n">
        <f aca="false">IF(ISERROR(S33*J33*K33),0,S33*J33*K33)</f>
        <v>60</v>
      </c>
      <c r="V33" s="228" t="n">
        <f aca="false">IF(ISERROR(S33*K33),0,S33*K33)</f>
        <v>4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>HYATEN</v>
      </c>
      <c r="Z33" s="197" t="n">
        <f aca="false">IF(ISERROR(MATCH(A33,'[1]liste reference'!$A$6:$A$1174,0)),IF(ISERROR(MATCH(A33,'[1]liste reference'!$B$6:$B$1174,0)),"",(MATCH(A33,'[1]liste reference'!$B$6:$B$1174,0))),(MATCH(A33,'[1]liste reference'!$A$6:$A$1174,0)))</f>
        <v>283</v>
      </c>
    </row>
    <row r="34" customFormat="false" ht="12.75" hidden="false" customHeight="false" outlineLevel="0" collapsed="false">
      <c r="A34" s="216" t="s">
        <v>90</v>
      </c>
      <c r="B34" s="217" t="n">
        <v>4.51</v>
      </c>
      <c r="C34" s="218" t="n">
        <v>2</v>
      </c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>Rhynchostegium riparioides</v>
      </c>
      <c r="E34" s="220" t="e">
        <f aca="false">IF(D34="",0,VLOOKUP(D34,D$22:D33,1,0))</f>
        <v>#N/A</v>
      </c>
      <c r="F34" s="221" t="n">
        <f aca="false">IF(AND(OR(A34="",A34="!!!!!!"),B34="",C34=""),"",IF(OR(AND(B34="",C34=""),ISERROR(C34+B34)),"!!!",($B34*$B$7+$C34*$C$7)/100))</f>
        <v>3.3805</v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>BRm</v>
      </c>
      <c r="H34" s="223" t="n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5</v>
      </c>
      <c r="I34" s="8" t="n">
        <f aca="false">IF(A34="","",1)</f>
        <v>1</v>
      </c>
      <c r="J34" s="224" t="n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12</v>
      </c>
      <c r="K34" s="224" t="n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1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>Rhynchostegium riparioides</v>
      </c>
      <c r="M34" s="225"/>
      <c r="N34" s="225"/>
      <c r="O34" s="225"/>
      <c r="P34" s="226" t="s">
        <v>80</v>
      </c>
      <c r="Q34" s="227" t="n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>31691</v>
      </c>
      <c r="R34" s="211" t="n">
        <f aca="false">IF(ISTEXT(H34),"",(B34*$B$7/100)+(C34*$C$7/100))</f>
        <v>3.3805</v>
      </c>
      <c r="S34" s="212" t="n">
        <f aca="false">IF(OR(ISTEXT(H34),R34=0),"",IF(R34&lt;0.1,1,IF(R34&lt;1,2,IF(R34&lt;10,3,IF(R34&lt;50,4,IF(R34&gt;=50,5,""))))))</f>
        <v>3</v>
      </c>
      <c r="T34" s="212" t="n">
        <f aca="false">IF(ISERROR(S34*J34),0,S34*J34)</f>
        <v>36</v>
      </c>
      <c r="U34" s="212" t="n">
        <f aca="false">IF(ISERROR(S34*J34*K34),0,S34*J34*K34)</f>
        <v>36</v>
      </c>
      <c r="V34" s="228" t="n">
        <f aca="false">IF(ISERROR(S34*K34),0,S34*K34)</f>
        <v>3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>RHYRIP</v>
      </c>
      <c r="Z34" s="197" t="n">
        <f aca="false">IF(ISERROR(MATCH(A34,'[1]liste reference'!$A$6:$A$1174,0)),IF(ISERROR(MATCH(A34,'[1]liste reference'!$B$6:$B$1174,0)),"",(MATCH(A34,'[1]liste reference'!$B$6:$B$1174,0))),(MATCH(A34,'[1]liste reference'!$A$6:$A$1174,0)))</f>
        <v>345</v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80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80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80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80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80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80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80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80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80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80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80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80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80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80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80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80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80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80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80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80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80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80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80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80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80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80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80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80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80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80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80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80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80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80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80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80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80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80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80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80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80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80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80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80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80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80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80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80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12.57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29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FURANS</v>
      </c>
      <c r="B84" s="180" t="str">
        <f aca="false">C3</f>
        <v>FURANS A BURBANCHE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11.9310344827586</v>
      </c>
      <c r="E84" s="254" t="n">
        <f aca="false">O13</f>
        <v>12</v>
      </c>
      <c r="F84" s="180" t="n">
        <f aca="false">O14</f>
        <v>10</v>
      </c>
      <c r="G84" s="180" t="n">
        <f aca="false">O15</f>
        <v>5</v>
      </c>
      <c r="H84" s="180" t="n">
        <f aca="false">O16</f>
        <v>5</v>
      </c>
      <c r="I84" s="180" t="n">
        <f aca="false">O17</f>
        <v>0</v>
      </c>
      <c r="J84" s="255" t="n">
        <f aca="false">O8</f>
        <v>11.2</v>
      </c>
      <c r="K84" s="256" t="n">
        <f aca="false">O9</f>
        <v>3.6</v>
      </c>
      <c r="L84" s="257" t="n">
        <f aca="false">O10</f>
        <v>4</v>
      </c>
      <c r="M84" s="257" t="n">
        <f aca="false">O11</f>
        <v>15</v>
      </c>
      <c r="N84" s="256" t="n">
        <f aca="false">P8</f>
        <v>1.5</v>
      </c>
      <c r="O84" s="256" t="n">
        <f aca="false">P9</f>
        <v>0.5</v>
      </c>
      <c r="P84" s="257" t="n">
        <f aca="false">P10</f>
        <v>1</v>
      </c>
      <c r="Q84" s="257" t="n">
        <f aca="false">P11</f>
        <v>2</v>
      </c>
      <c r="R84" s="257" t="n">
        <f aca="false">F21</f>
        <v>12.57</v>
      </c>
      <c r="S84" s="257" t="n">
        <f aca="false">L11</f>
        <v>0</v>
      </c>
      <c r="T84" s="257" t="n">
        <f aca="false">L12</f>
        <v>5</v>
      </c>
      <c r="U84" s="257" t="n">
        <f aca="false">L13</f>
        <v>7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91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92</v>
      </c>
      <c r="S87" s="8"/>
      <c r="T87" s="263" t="n">
        <f aca="false">VLOOKUP($T$91,($A$23:$U$82),20,FALSE())</f>
        <v>45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93</v>
      </c>
      <c r="S88" s="8"/>
      <c r="T88" s="263" t="n">
        <f aca="false">VLOOKUP($T$91,($A$23:$U$82),21,FALSE())</f>
        <v>90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94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95</v>
      </c>
      <c r="S90" s="8" t="s">
        <v>10</v>
      </c>
      <c r="T90" s="264" t="n">
        <f aca="false">IF(OR(ISERROR(SUM($U$23:$U$82)/SUM($V$23:$V$82)),F7&lt;&gt;100),-1,(SUM($U$23:$U$82)-T88)/(SUM($V$23:$V$82)-T89))</f>
        <v>11.1304347826087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96</v>
      </c>
      <c r="S91" s="212"/>
      <c r="T91" s="212" t="str">
        <f aca="false">INDEX('[1]liste reference'!$A$6:$A$1174,$U$91)</f>
        <v>CINAQU</v>
      </c>
      <c r="U91" s="8" t="n">
        <f aca="false">IF(ISERROR(MATCH($T$93,'[1]liste reference'!$A$6:$A$1174,0)),MATCH($T$93,'[1]liste reference'!$B$6:$B$1174,0),(MATCH($T$93,'[1]liste reference'!$A$6:$A$1174,0)))</f>
        <v>221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97</v>
      </c>
      <c r="S92" s="8"/>
      <c r="T92" s="8" t="n">
        <f aca="false">MATCH(T89,$V$23:$V$82,0)</f>
        <v>8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98</v>
      </c>
      <c r="S93" s="8"/>
      <c r="T93" s="212" t="str">
        <f aca="false">INDEX($A$23:$A$82,$T$92)</f>
        <v>CINAQU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2016-03-01T13:18:39Z</dcterms:created>
  <dc:creator>laurianne isebe</dc:creator>
  <dc:description/>
  <dc:language>fr-FR</dc:language>
  <cp:lastModifiedBy>laurianne isebe</cp:lastModifiedBy>
  <dcterms:modified xsi:type="dcterms:W3CDTF">2016-03-01T13:18:41Z</dcterms:modified>
  <cp:revision>0</cp:revision>
  <dc:subject/>
  <dc:title/>
</cp:coreProperties>
</file>