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<sst xmlns="http://schemas.openxmlformats.org/spreadsheetml/2006/main" count="100" uniqueCount="95">
  <si>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</si>
  <si>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</si>
  <si>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</si>
  <si>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L.ISEBE P.BELLY</t>
  </si>
  <si>
    <t xml:space="preserve">conforme AFNOR T90-395 oct. 2003</t>
  </si>
  <si>
    <t xml:space="preserve">RHONE</t>
  </si>
  <si>
    <t xml:space="preserve">RHONE A SAINT SORLIN EN BUGEY</t>
  </si>
  <si>
    <t xml:space="preserve">06080000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</si>
  <si>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</si>
  <si>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</si>
  <si>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</si>
  <si>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</si>
  <si>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</si>
  <si>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</si>
  <si>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</si>
  <si>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</si>
  <si>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PHOSPX</t>
  </si>
  <si>
    <t xml:space="preserve">Faciès dominant</t>
  </si>
  <si>
    <t xml:space="preserve">chenal lotique</t>
  </si>
  <si>
    <t xml:space="preserve">plat lentique 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</si>
  <si>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</si>
  <si>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</si>
  <si>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</si>
  <si>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</si>
  <si>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</si>
  <si>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</si>
  <si>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</si>
  <si>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</si>
  <si>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</si>
  <si>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</si>
  <si>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</si>
  <si>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</si>
  <si>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</si>
  <si>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</si>
  <si>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</si>
  <si>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</si>
  <si>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</si>
  <si>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</si>
  <si>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</si>
  <si>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</si>
  <si>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</si>
  <si>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</si>
  <si>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</si>
  <si>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</si>
  <si>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</si>
  <si>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</si>
  <si>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</si>
  <si>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</si>
  <si>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</si>
  <si>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</si>
  <si>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</si>
  <si>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</si>
  <si>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</si>
  <si>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</si>
  <si>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</si>
  <si>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</si>
  <si>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</si>
  <si>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</si>
  <si>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</si>
  <si>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</si>
  <si>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</si>
  <si>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</si>
  <si>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</si>
  <si>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</si>
  <si>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</si>
  <si>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</si>
  <si>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</si>
  <si>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</si>
  <si>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</si>
  <si>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</si>
  <si>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</si>
  <si>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</si>
  <si>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</si>
  <si>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</si>
  <si>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</si>
  <si>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</si>
  <si>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</si>
  <si>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</si>
  <si>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DIASPX</t>
  </si>
  <si>
    <t xml:space="preserve">MELSPX</t>
  </si>
  <si>
    <t xml:space="preserve">SPISPX</t>
  </si>
  <si>
    <t xml:space="preserve">CINDAN</t>
  </si>
  <si>
    <t xml:space="preserve">FONANT</t>
  </si>
  <si>
    <t xml:space="preserve">RANFLU</t>
  </si>
  <si>
    <t xml:space="preserve">GLYFLU</t>
  </si>
  <si>
    <t xml:space="preserve">PHAARU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</si>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</sst>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RHOSA_04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41886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11.9411764705882</v>
      </c>
      <c r="M5" s="53"/>
      <c r="N5" s="54" t="s">
        <v>16</v>
      </c>
      <c r="O5" s="55" t="n">
        <v>11.6153846153846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99</v>
      </c>
      <c r="C7" s="67" t="n">
        <v>1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11.3333333333333</v>
      </c>
      <c r="O8" s="84" t="n">
        <f aca="false">IF(ISERROR(AVERAGE(J23:J82)),"      -",AVERAGE(J23:J82))</f>
        <v>1.66666666666667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0.3208</v>
      </c>
      <c r="C9" s="87" t="n">
        <v>0.01</v>
      </c>
      <c r="D9" s="88"/>
      <c r="E9" s="88"/>
      <c r="F9" s="89" t="n">
        <f aca="false">($B9*$B$7+$C9*$C$7)/100</f>
        <v>0.317692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1.56347191994114</v>
      </c>
      <c r="O9" s="84" t="n">
        <f aca="false">IF(ISERROR(STDEVP(J23:J82)),"      -",STDEVP(J23:J82))</f>
        <v>0.666666666666667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10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14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0.27</v>
      </c>
      <c r="C12" s="119"/>
      <c r="D12" s="111"/>
      <c r="E12" s="111"/>
      <c r="F12" s="112" t="n">
        <f aca="false">($B12*$B$7+$C12*$C$7)/100</f>
        <v>0.2673</v>
      </c>
      <c r="G12" s="120"/>
      <c r="H12" s="68"/>
      <c r="I12" s="121" t="s">
        <v>39</v>
      </c>
      <c r="J12" s="121"/>
      <c r="K12" s="115" t="n">
        <f aca="false">COUNTIF($G$23:$G$82,"=ALG")</f>
        <v>4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0.0004</v>
      </c>
      <c r="C13" s="119"/>
      <c r="D13" s="111"/>
      <c r="E13" s="111"/>
      <c r="F13" s="112" t="n">
        <f aca="false">($B13*$B$7+$C13*$C$7)/100</f>
        <v>0.000396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2</v>
      </c>
      <c r="L13" s="116"/>
      <c r="M13" s="127" t="s">
        <v>42</v>
      </c>
      <c r="N13" s="128" t="n">
        <f aca="false">COUNTIF(F23:F82,"&gt;0")</f>
        <v>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9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0.05</v>
      </c>
      <c r="C15" s="136" t="n">
        <v>0.01</v>
      </c>
      <c r="D15" s="111"/>
      <c r="E15" s="111"/>
      <c r="F15" s="112" t="n">
        <f aca="false">($B15*$B$7+$C15*$C$7)/100</f>
        <v>0.0496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3</v>
      </c>
      <c r="L15" s="116"/>
      <c r="M15" s="137" t="s">
        <v>48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0.2708</v>
      </c>
      <c r="C17" s="119"/>
      <c r="D17" s="111"/>
      <c r="E17" s="111"/>
      <c r="F17" s="143"/>
      <c r="G17" s="112" t="n">
        <f aca="false">($B17*$B$7+$C17*$C$7)/100</f>
        <v>0.268092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0.05</v>
      </c>
      <c r="C18" s="146" t="n">
        <v>0.01</v>
      </c>
      <c r="D18" s="111"/>
      <c r="E18" s="147" t="s">
        <v>54</v>
      </c>
      <c r="F18" s="143"/>
      <c r="G18" s="112" t="n">
        <f aca="false">($B18*$B$7+$C18*$C$7)/100</f>
        <v>0.0496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>ATTENTION : le total par grp. floristiques doit être égal</v>
      </c>
      <c r="E19" s="155" t="str">
        <f aca="false">IF(G19=F19,"","au total par grp. Fonctionnels !")</f>
        <v>au total par grp. Fonctionnels !</v>
      </c>
      <c r="F19" s="156" t="n">
        <f aca="false">SUM(F11:F15)</f>
        <v>0.317296</v>
      </c>
      <c r="G19" s="156" t="n">
        <f aca="false">SUM(G16:G18)</f>
        <v>0.317692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0.319916475279018</v>
      </c>
      <c r="C20" s="166" t="n">
        <f aca="false">SUM(C23:C82)</f>
        <v>0.012563276576162</v>
      </c>
      <c r="D20" s="167"/>
      <c r="E20" s="168" t="s">
        <v>54</v>
      </c>
      <c r="F20" s="169" t="n">
        <f aca="false">($B20*$B$7+$C20*$C$7)/100</f>
        <v>0.31684294329199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0.316717310526228</v>
      </c>
      <c r="C21" s="179" t="n">
        <f aca="false">C20*C7/100</f>
        <v>0.00012563276576162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0.31684294329199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0.000417231561445167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Diatoma sp.</v>
      </c>
      <c r="E23" s="207" t="e">
        <f aca="false">IF(D23="",0,VLOOKUP(D23,D$22:D22,1,0))</f>
        <v>#N/A</v>
      </c>
      <c r="F23" s="208" t="n">
        <f aca="false">($B23*$B$7+$C23*$C$7)/100</f>
        <v>0.000413059245830715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12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Diatoma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6627</v>
      </c>
      <c r="Q23" s="216" t="n">
        <f aca="false">IF(ISTEXT(H23),"",(B23*$B$7/100)+(C23*$C$7/100))</f>
        <v>0.000413059245830715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12</v>
      </c>
      <c r="T23" s="217" t="n">
        <f aca="false">IF(ISERROR(R23*I23*J23),0,R23*I23*J23)</f>
        <v>24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DIASPX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26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7.36290990785588E-005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Melosira sp.</v>
      </c>
      <c r="E24" s="226" t="e">
        <f aca="false">IF(D24="",0,VLOOKUP(D24,D$22:D23,1,0))</f>
        <v>#N/A</v>
      </c>
      <c r="F24" s="227" t="n">
        <f aca="false">($B24*$B$7+$C24*$C$7)/100</f>
        <v>7.28928080877732E-005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10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Melosira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8714</v>
      </c>
      <c r="Q24" s="216" t="n">
        <f aca="false">IF(ISTEXT(H24),"",(B24*$B$7/100)+(C24*$C$7/100))</f>
        <v>7.28928080877732E-005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10</v>
      </c>
      <c r="T24" s="217" t="n">
        <f aca="false">IF(ISERROR(R24*I24*J24),0,R24*I24*J24)</f>
        <v>10</v>
      </c>
      <c r="U24" s="229" t="n">
        <f aca="false">IF(ISERROR(R24*J24),0,R24*J24)</f>
        <v>1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MELSPX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36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16</v>
      </c>
      <c r="B25" s="224" t="n">
        <v>0.26463362009042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Phormidium sp.</v>
      </c>
      <c r="E25" s="226" t="e">
        <f aca="false">IF(D25="",0,VLOOKUP(D25,D$22:D24,1,0))</f>
        <v>#N/A</v>
      </c>
      <c r="F25" s="227" t="n">
        <f aca="false">($B25*$B$7+$C25*$C$7)/100</f>
        <v>0.261987283889516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Phormidium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6414</v>
      </c>
      <c r="Q25" s="216" t="n">
        <f aca="false">IF(ISTEXT(H25),"",(B25*$B$7/100)+(C25*$C$7/100))</f>
        <v>0.261987283889516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26</v>
      </c>
      <c r="T25" s="217" t="n">
        <f aca="false">IF(ISERROR(R25*I25*J25),0,R25*I25*J25)</f>
        <v>52</v>
      </c>
      <c r="U25" s="229" t="n">
        <f aca="false">IF(ISERROR(R25*J25),0,R25*J25)</f>
        <v>4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PHOSPX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57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0.000490860660523726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Spirogyra sp.</v>
      </c>
      <c r="E26" s="226" t="e">
        <f aca="false">IF(D26="",0,VLOOKUP(D26,D$22:D25,1,0))</f>
        <v>#N/A</v>
      </c>
      <c r="F26" s="227" t="n">
        <f aca="false">($B26*$B$7+$C26*$C$7)/100</f>
        <v>0.000485952053918488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10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Spirogyra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1147</v>
      </c>
      <c r="Q26" s="216" t="n">
        <f aca="false">IF(ISTEXT(H26),"",(B26*$B$7/100)+(C26*$C$7/100))</f>
        <v>0.000485952053918488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10</v>
      </c>
      <c r="T26" s="217" t="n">
        <f aca="false">IF(ISERROR(R26*I26*J26),0,R26*I26*J26)</f>
        <v>10</v>
      </c>
      <c r="U26" s="229" t="n">
        <f aca="false">IF(ISERROR(R26*J26),0,R26*J26)</f>
        <v>1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SPISPX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69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0.000490860660523726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Cinclidotus danubicus</v>
      </c>
      <c r="E27" s="226" t="e">
        <f aca="false">IF(D27="",0,VLOOKUP(D27,D$22:D26,1,0))</f>
        <v>#N/A</v>
      </c>
      <c r="F27" s="227" t="n">
        <f aca="false">($B27*$B$7+$C27*$C$7)/100</f>
        <v>0.000485952053918488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13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3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Cinclidotus danubicus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1319</v>
      </c>
      <c r="Q27" s="216" t="n">
        <f aca="false">IF(ISTEXT(H27),"",(B27*$B$7/100)+(C27*$C$7/100))</f>
        <v>0.000485952053918488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13</v>
      </c>
      <c r="T27" s="217" t="n">
        <f aca="false">IF(ISERROR(R27*I27*J27),0,R27*I27*J27)</f>
        <v>39</v>
      </c>
      <c r="U27" s="229" t="n">
        <f aca="false">IF(ISERROR(R27*J27),0,R27*J27)</f>
        <v>3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CINDAN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171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0.000490860660523726</v>
      </c>
      <c r="C28" s="225" t="n">
        <v>0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Fontinalis antipyretica</v>
      </c>
      <c r="E28" s="226" t="e">
        <f aca="false">IF(D28="",0,VLOOKUP(D28,D$22:D27,1,0))</f>
        <v>#N/A</v>
      </c>
      <c r="F28" s="227" t="n">
        <f aca="false">($B28*$B$7+$C28*$C$7)/100</f>
        <v>0.000485952053918488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10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Fontinalis antipyretica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1310</v>
      </c>
      <c r="Q28" s="216" t="n">
        <f aca="false">IF(ISTEXT(H28),"",(B28*$B$7/100)+(C28*$C$7/100))</f>
        <v>0.000485952053918488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10</v>
      </c>
      <c r="T28" s="217" t="n">
        <f aca="false">IF(ISERROR(R28*I28*J28),0,R28*I28*J28)</f>
        <v>10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FONANT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210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0.0528285518859793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Ranunculus fluitans</v>
      </c>
      <c r="E29" s="226" t="e">
        <f aca="false">IF(D29="",0,VLOOKUP(D29,D$22:D28,1,0))</f>
        <v>#N/A</v>
      </c>
      <c r="F29" s="227" t="n">
        <f aca="false">($B29*$B$7+$C29*$C$7)/100</f>
        <v>0.0523002663671195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PHy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7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10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Ranunculus fluitans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1903</v>
      </c>
      <c r="Q29" s="216" t="n">
        <f aca="false">IF(ISTEXT(H29),"",(B29*$B$7/100)+(C29*$C$7/100))</f>
        <v>0.0523002663671195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10</v>
      </c>
      <c r="T29" s="217" t="n">
        <f aca="false">IF(ISERROR(R29*I29*J29),0,R29*I29*J29)</f>
        <v>20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RANFLU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456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0.000490860660523726</v>
      </c>
      <c r="C30" s="225" t="n">
        <v>0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Glyceria fluitans</v>
      </c>
      <c r="E30" s="226" t="e">
        <f aca="false">IF(D30="",0,VLOOKUP(D30,D$22:D29,1,0))</f>
        <v>#N/A</v>
      </c>
      <c r="F30" s="227" t="n">
        <f aca="false">($B30*$B$7+$C30*$C$7)/100</f>
        <v>0.000485952053918488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PHe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8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14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Glyceria fluitans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1564</v>
      </c>
      <c r="Q30" s="216" t="n">
        <f aca="false">IF(ISTEXT(H30),"",(B30*$B$7/100)+(C30*$C$7/100))</f>
        <v>0.000485952053918488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14</v>
      </c>
      <c r="T30" s="217" t="n">
        <f aca="false">IF(ISERROR(R30*I30*J30),0,R30*I30*J30)</f>
        <v>28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GLYFLU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575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</v>
      </c>
      <c r="C31" s="225" t="n">
        <v>0.012563276576162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Phalaris arundinacea</v>
      </c>
      <c r="E31" s="226" t="e">
        <f aca="false">IF(D31="",0,VLOOKUP(D31,D$22:D30,1,0))</f>
        <v>#N/A</v>
      </c>
      <c r="F31" s="227" t="n">
        <f aca="false">($B31*$B$7+$C31*$C$7)/100</f>
        <v>0.00012563276576162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PHe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8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10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Phalaris arundinacea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1577</v>
      </c>
      <c r="Q31" s="216" t="n">
        <f aca="false">IF(ISTEXT(H31),"",(B31*$B$7/100)+(C31*$C$7/100))</f>
        <v>0.00012563276576162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10</v>
      </c>
      <c r="T31" s="217" t="n">
        <f aca="false">IF(ISERROR(R31*I31*J31),0,R31*I31*J31)</f>
        <v>10</v>
      </c>
      <c r="U31" s="229" t="n">
        <f aca="false">IF(ISERROR(R31*J31),0,R31*J31)</f>
        <v>1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PHAARU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634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RHONE</v>
      </c>
      <c r="B84" s="259" t="str">
        <f aca="false">C3</f>
        <v>RHONE A SAINT SORLIN EN BUGEY</v>
      </c>
      <c r="C84" s="260" t="n">
        <f aca="false">A4</f>
        <v>41886</v>
      </c>
      <c r="D84" s="261" t="n">
        <f aca="false">IF(ISERROR(SUM($T$23:$T$82)/SUM($U$23:$U$82)),"",SUM($T$23:$T$82)/SUM($U$23:$U$82))</f>
        <v>11.9411764705882</v>
      </c>
      <c r="E84" s="262" t="n">
        <f aca="false">N13</f>
        <v>9</v>
      </c>
      <c r="F84" s="259" t="n">
        <f aca="false">N14</f>
        <v>9</v>
      </c>
      <c r="G84" s="259" t="n">
        <f aca="false">N15</f>
        <v>4</v>
      </c>
      <c r="H84" s="259" t="n">
        <f aca="false">N16</f>
        <v>4</v>
      </c>
      <c r="I84" s="259" t="n">
        <f aca="false">N17</f>
        <v>1</v>
      </c>
      <c r="J84" s="263" t="n">
        <f aca="false">N8</f>
        <v>11.3333333333333</v>
      </c>
      <c r="K84" s="261" t="n">
        <f aca="false">N9</f>
        <v>1.56347191994114</v>
      </c>
      <c r="L84" s="262" t="n">
        <f aca="false">N10</f>
        <v>10</v>
      </c>
      <c r="M84" s="262" t="n">
        <f aca="false">N11</f>
        <v>14</v>
      </c>
      <c r="N84" s="261" t="n">
        <f aca="false">O8</f>
        <v>1.66666666666667</v>
      </c>
      <c r="O84" s="261" t="n">
        <f aca="false">O9</f>
        <v>0.666666666666667</v>
      </c>
      <c r="P84" s="262" t="n">
        <f aca="false">O10</f>
        <v>1</v>
      </c>
      <c r="Q84" s="262" t="n">
        <f aca="false">O11</f>
        <v>3</v>
      </c>
      <c r="R84" s="262" t="n">
        <f aca="false">F21</f>
        <v>0.31684294329199</v>
      </c>
      <c r="S84" s="262" t="n">
        <f aca="false">K11</f>
        <v>0</v>
      </c>
      <c r="T84" s="262" t="n">
        <f aca="false">K12</f>
        <v>4</v>
      </c>
      <c r="U84" s="262" t="n">
        <f aca="false">K13</f>
        <v>2</v>
      </c>
      <c r="V84" s="264" t="n">
        <f aca="false">K14</f>
        <v>0</v>
      </c>
      <c r="W84" s="265" t="n">
        <f aca="false">K15</f>
        <v>3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88</v>
      </c>
      <c r="R87" s="10"/>
      <c r="S87" s="218" t="n">
        <f aca="false">VLOOKUP(MAX($S$23:$S$82),($S$23:$U$82),1,0)</f>
        <v>26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89</v>
      </c>
      <c r="R88" s="10"/>
      <c r="S88" s="218" t="n">
        <f aca="false">VLOOKUP((S87),($S$23:$U$82),2,0)</f>
        <v>52</v>
      </c>
      <c r="T88" s="10"/>
      <c r="U88" s="10"/>
      <c r="V88" s="10"/>
    </row>
    <row r="89" customFormat="false" ht="12.75" hidden="true" customHeight="false" outlineLevel="0" collapsed="false">
      <c r="Q89" s="10" t="s">
        <v>90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91</v>
      </c>
      <c r="R90" s="10"/>
      <c r="S90" s="268" t="n">
        <f aca="false">IF(ISERROR(SUM($T$23:$T$82)/SUM($U$23:$U$82)),"",(SUM($T$23:$T$82)-S88)/(SUM($U$23:$U$82)-S89))</f>
        <v>11.6153846153846</v>
      </c>
      <c r="T90" s="10"/>
    </row>
    <row r="91" customFormat="false" ht="12.75" hidden="false" customHeight="false" outlineLevel="0" collapsed="false">
      <c r="Q91" s="217" t="s">
        <v>92</v>
      </c>
      <c r="R91" s="217"/>
      <c r="S91" s="217" t="str">
        <f aca="false">INDEX('[2]liste reference'!$A$8:$A$904,$T$91)</f>
        <v>PHOSPX</v>
      </c>
      <c r="T91" s="10" t="n">
        <f aca="false">IF(ISERROR(MATCH($S$93,'[2]liste reference'!$A$8:$A$904,0)),MATCH($S$93,'[2]liste reference'!$B$8:$B$904,0),(MATCH($S$93,'[2]liste reference'!$A$8:$A$904,0)))</f>
        <v>57</v>
      </c>
      <c r="U91" s="257"/>
    </row>
    <row r="92" customFormat="false" ht="12.75" hidden="false" customHeight="false" outlineLevel="0" collapsed="false">
      <c r="Q92" s="10" t="s">
        <v>93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7" t="s">
        <v>94</v>
      </c>
      <c r="R93" s="10"/>
      <c r="S93" s="217" t="str">
        <f aca="false">INDEX($A$23:$A$82,$S$92)</f>
        <v>PHOSPX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2015-05-29T14:32:48Z</dcterms:created>
  <dc:creator>Laurent Bourgoin</dc:creator>
  <dc:description/>
  <dc:language>fr-FR</dc:language>
  <cp:lastModifiedBy>Laurent Bourgoin</cp:lastModifiedBy>
  <dcterms:modified xsi:type="dcterms:W3CDTF">2015-05-29T14:32:57Z</dcterms:modified>
  <cp:revision>0</cp:revision>
  <dc:subject/>
  <dc:title/>
</cp:coreProperties>
</file>