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<sst xmlns="http://schemas.openxmlformats.org/spreadsheetml/2006/main" count="107" uniqueCount="102">
  <si>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</si>
  <si>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</si>
  <si>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</si>
  <si>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S.RENAHY</t>
  </si>
  <si>
    <t xml:space="preserve">conforme AFNOR T90-395 oct. 2003</t>
  </si>
  <si>
    <t xml:space="preserve">Albarine</t>
  </si>
  <si>
    <t xml:space="preserve">ALBARINE A ARGIS</t>
  </si>
  <si>
    <t xml:space="preserve">06090600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</si>
  <si>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</si>
  <si>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</si>
  <si>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</si>
  <si>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</si>
  <si>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</si>
  <si>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</si>
  <si>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</si>
  <si>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</si>
  <si>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CINRIP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</si>
  <si>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</si>
  <si>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</si>
  <si>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</si>
  <si>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</si>
  <si>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</si>
  <si>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</si>
  <si>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</si>
  <si>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</si>
  <si>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</si>
  <si>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</si>
  <si>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</si>
  <si>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</si>
  <si>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</si>
  <si>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</si>
  <si>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</si>
  <si>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</si>
  <si>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</si>
  <si>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</si>
  <si>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</si>
  <si>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</si>
  <si>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</si>
  <si>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</si>
  <si>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</si>
  <si>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</si>
  <si>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</si>
  <si>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</si>
  <si>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</si>
  <si>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</si>
  <si>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</si>
  <si>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</si>
  <si>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</si>
  <si>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</si>
  <si>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</si>
  <si>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</si>
  <si>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</si>
  <si>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</si>
  <si>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</si>
  <si>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</si>
  <si>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</si>
  <si>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</si>
  <si>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</si>
  <si>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</si>
  <si>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</si>
  <si>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</si>
  <si>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</si>
  <si>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</si>
  <si>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</si>
  <si>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</si>
  <si>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</si>
  <si>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</si>
  <si>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</si>
  <si>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</si>
  <si>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</si>
  <si>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</si>
  <si>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</si>
  <si>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</si>
  <si>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</si>
  <si>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</si>
  <si>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</si>
  <si>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</si>
  <si>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</si>
  <si>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</si>
  <si>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LEASPX</t>
  </si>
  <si>
    <t xml:space="preserve">NOSSPX</t>
  </si>
  <si>
    <t xml:space="preserve">PHOSPX</t>
  </si>
  <si>
    <t xml:space="preserve">TETSPX</t>
  </si>
  <si>
    <t xml:space="preserve">VAUSPX</t>
  </si>
  <si>
    <t xml:space="preserve">RICCHA</t>
  </si>
  <si>
    <t xml:space="preserve">AMBRIP</t>
  </si>
  <si>
    <t xml:space="preserve">CINAQU</t>
  </si>
  <si>
    <t xml:space="preserve">FONANT</t>
  </si>
  <si>
    <t xml:space="preserve">RHYRIP</t>
  </si>
  <si>
    <t xml:space="preserve">FISCRA</t>
  </si>
  <si>
    <t xml:space="preserve">REYJAP</t>
  </si>
  <si>
    <t xml:space="preserve">newcod</t>
  </si>
  <si>
    <t xml:space="preserve">Salix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</si>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</sst>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ALBARG_08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10.9117647058824</v>
      </c>
      <c r="M5" s="53"/>
      <c r="N5" s="54" t="s">
        <v>16</v>
      </c>
      <c r="O5" s="55" t="n">
        <v>10.4642857142857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92</v>
      </c>
      <c r="C7" s="67" t="n">
        <v>8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10.8461538461538</v>
      </c>
      <c r="O8" s="84" t="n">
        <f aca="false">IF(ISERROR(AVERAGE(J23:J82)),"      -",AVERAGE(J23:J82))</f>
        <v>1.53846153846154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7.33</v>
      </c>
      <c r="C9" s="87" t="n">
        <v>16.25</v>
      </c>
      <c r="D9" s="88"/>
      <c r="E9" s="88"/>
      <c r="F9" s="89" t="n">
        <f aca="false">($B9*$B$7+$C9*$C$7)/100</f>
        <v>8.0436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3.65526288323591</v>
      </c>
      <c r="O9" s="84" t="n">
        <f aca="false">IF(ISERROR(STDEVP(J23:J82)),"      -",STDEVP(J23:J82))</f>
        <v>0.498518515262143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2.01</v>
      </c>
      <c r="C12" s="119" t="n">
        <v>7.02</v>
      </c>
      <c r="D12" s="111"/>
      <c r="E12" s="111"/>
      <c r="F12" s="112" t="n">
        <f aca="false">($B12*$B$7+$C12*$C$7)/100</f>
        <v>2.4108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5.32</v>
      </c>
      <c r="C13" s="119" t="n">
        <v>9.21</v>
      </c>
      <c r="D13" s="111"/>
      <c r="E13" s="111"/>
      <c r="F13" s="112" t="n">
        <f aca="false">($B13*$B$7+$C13*$C$7)/100</f>
        <v>5.6312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7</v>
      </c>
      <c r="L13" s="116"/>
      <c r="M13" s="127" t="s">
        <v>42</v>
      </c>
      <c r="N13" s="128" t="n">
        <f aca="false">COUNTIF(F23:F82,"&gt;0")</f>
        <v>15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0.02</v>
      </c>
      <c r="D15" s="111"/>
      <c r="E15" s="111"/>
      <c r="F15" s="112" t="n">
        <f aca="false">($B15*$B$7+$C15*$C$7)/100</f>
        <v>0.0016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48</v>
      </c>
      <c r="N15" s="138" t="n">
        <f aca="false">COUNTIF(J23:J82,"=1")</f>
        <v>6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7.33</v>
      </c>
      <c r="C17" s="119" t="n">
        <v>16.23</v>
      </c>
      <c r="D17" s="111"/>
      <c r="E17" s="111"/>
      <c r="F17" s="143"/>
      <c r="G17" s="112" t="n">
        <f aca="false">($B17*$B$7+$C17*$C$7)/100</f>
        <v>8.042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0.02</v>
      </c>
      <c r="D18" s="111"/>
      <c r="E18" s="147" t="s">
        <v>54</v>
      </c>
      <c r="F18" s="143"/>
      <c r="G18" s="112" t="n">
        <f aca="false">($B18*$B$7+$C18*$C$7)/100</f>
        <v>0.0016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8.0436</v>
      </c>
      <c r="G19" s="156" t="n">
        <f aca="false">SUM(G16:G18)</f>
        <v>8.0436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7.33</v>
      </c>
      <c r="C20" s="166" t="n">
        <f aca="false">SUM(C23:C82)</f>
        <v>16.25</v>
      </c>
      <c r="D20" s="167"/>
      <c r="E20" s="168" t="s">
        <v>54</v>
      </c>
      <c r="F20" s="169" t="n">
        <f aca="false">($B20*$B$7+$C20*$C$7)/100</f>
        <v>8.0436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6.7436</v>
      </c>
      <c r="C21" s="179" t="n">
        <f aca="false">C20*C7/100</f>
        <v>1.3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8.0436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1</v>
      </c>
      <c r="C23" s="205" t="n">
        <v>4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1.24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1.24</v>
      </c>
      <c r="R23" s="216" t="n">
        <f aca="false">IF(OR(ISTEXT(H23),Q23=0),"",IF(Q23&lt;0.1,1,IF(Q23&lt;1,2,IF(Q23&lt;10,3,IF(Q23&lt;50,4,IF(Q23&gt;=50,5,""))))))</f>
        <v>3</v>
      </c>
      <c r="S23" s="216" t="n">
        <f aca="false">IF(ISERROR(R23*I23),0,R23*I23)</f>
        <v>18</v>
      </c>
      <c r="T23" s="216" t="n">
        <f aca="false">IF(ISERROR(R23*I23*J23),0,R23*I23*J23)</f>
        <v>18</v>
      </c>
      <c r="U23" s="216" t="n">
        <f aca="false">IF(ISERROR(R23*J23),0,R23*J23)</f>
        <v>3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0.1</v>
      </c>
      <c r="C24" s="224" t="n">
        <v>0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Lemanea sp.</v>
      </c>
      <c r="E24" s="225" t="e">
        <f aca="false">IF(D24="",0,VLOOKUP(D24,D$22:D23,1,0))</f>
        <v>#N/A</v>
      </c>
      <c r="F24" s="226" t="n">
        <f aca="false">($B24*$B$7+$C24*$C$7)/100</f>
        <v>0.092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15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Lemanea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1159</v>
      </c>
      <c r="Q24" s="215" t="n">
        <f aca="false">IF(ISTEXT(H24),"",(B24*$B$7/100)+(C24*$C$7/100))</f>
        <v>0.092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15</v>
      </c>
      <c r="T24" s="216" t="n">
        <f aca="false">IF(ISERROR(R24*I24*J24),0,R24*I24*J24)</f>
        <v>30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LEASPX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34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0.1</v>
      </c>
      <c r="C25" s="224" t="n">
        <v>0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Nostoc sp.</v>
      </c>
      <c r="E25" s="225" t="e">
        <f aca="false">IF(D25="",0,VLOOKUP(D25,D$22:D24,1,0))</f>
        <v>#N/A</v>
      </c>
      <c r="F25" s="226" t="n">
        <f aca="false">($B25*$B$7+$C25*$C$7)/100</f>
        <v>0.092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9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Nostoc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1105</v>
      </c>
      <c r="Q25" s="215" t="n">
        <f aca="false">IF(ISTEXT(H25),"",(B25*$B$7/100)+(C25*$C$7/100))</f>
        <v>0.092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9</v>
      </c>
      <c r="T25" s="216" t="n">
        <f aca="false">IF(ISERROR(R25*I25*J25),0,R25*I25*J25)</f>
        <v>9</v>
      </c>
      <c r="U25" s="228" t="n">
        <f aca="false">IF(ISERROR(R25*J25),0,R25*J25)</f>
        <v>1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NOSSPX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54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0.01</v>
      </c>
      <c r="C26" s="224" t="n">
        <v>0.01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5" t="e">
        <f aca="false">IF(D26="",0,VLOOKUP(D26,D$22:D25,1,0))</f>
        <v>#N/A</v>
      </c>
      <c r="F26" s="226" t="n">
        <f aca="false">($B26*$B$7+$C26*$C$7)/100</f>
        <v>0.01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5" t="n">
        <f aca="false">IF(ISTEXT(H26),"",(B26*$B$7/100)+(C26*$C$7/100))</f>
        <v>0.01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13</v>
      </c>
      <c r="T26" s="216" t="n">
        <f aca="false">IF(ISERROR(R26*I26*J26),0,R26*I26*J26)</f>
        <v>26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</v>
      </c>
      <c r="C27" s="224" t="n">
        <v>0.01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Tetraspora sp.</v>
      </c>
      <c r="E27" s="225" t="e">
        <f aca="false">IF(D27="",0,VLOOKUP(D27,D$22:D26,1,0))</f>
        <v>#N/A</v>
      </c>
      <c r="F27" s="226" t="n">
        <f aca="false">($B27*$B$7+$C27*$C$7)/100</f>
        <v>0.0008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12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Tetraspora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1138</v>
      </c>
      <c r="Q27" s="215" t="n">
        <f aca="false">IF(ISTEXT(H27),"",(B27*$B$7/100)+(C27*$C$7/100))</f>
        <v>0.0008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12</v>
      </c>
      <c r="T27" s="216" t="n">
        <f aca="false">IF(ISERROR(R27*I27*J27),0,R27*I27*J27)</f>
        <v>12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TETSPX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73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0.8</v>
      </c>
      <c r="C28" s="224" t="n">
        <v>3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Vaucheria sp.</v>
      </c>
      <c r="E28" s="225" t="e">
        <f aca="false">IF(D28="",0,VLOOKUP(D28,D$22:D27,1,0))</f>
        <v>#N/A</v>
      </c>
      <c r="F28" s="226" t="n">
        <f aca="false">($B28*$B$7+$C28*$C$7)/100</f>
        <v>0.976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4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Vaucheria sp.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6193</v>
      </c>
      <c r="Q28" s="215" t="n">
        <f aca="false">IF(ISTEXT(H28),"",(B28*$B$7/100)+(C28*$C$7/100))</f>
        <v>0.976</v>
      </c>
      <c r="R28" s="216" t="n">
        <f aca="false">IF(OR(ISTEXT(H28),Q28=0),"",IF(Q28&lt;0.1,1,IF(Q28&lt;1,2,IF(Q28&lt;10,3,IF(Q28&lt;50,4,IF(Q28&gt;=50,5,""))))))</f>
        <v>2</v>
      </c>
      <c r="S28" s="216" t="n">
        <f aca="false">IF(ISERROR(R28*I28),0,R28*I28)</f>
        <v>8</v>
      </c>
      <c r="T28" s="216" t="n">
        <f aca="false">IF(ISERROR(R28*I28*J28),0,R28*I28*J28)</f>
        <v>8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VAUSPX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82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84</v>
      </c>
      <c r="B29" s="223" t="n">
        <v>0.01</v>
      </c>
      <c r="C29" s="224" t="n">
        <v>0.1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Riccardia chamedryfolia</v>
      </c>
      <c r="E29" s="225" t="e">
        <f aca="false">IF(D29="",0,VLOOKUP(D29,D$22:D28,1,0))</f>
        <v>#N/A</v>
      </c>
      <c r="F29" s="226" t="n">
        <f aca="false">($B29*$B$7+$C29*$C$7)/100</f>
        <v>0.0172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BRh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4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15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Riccardia chamedryfolia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1173</v>
      </c>
      <c r="Q29" s="215" t="n">
        <f aca="false">IF(ISTEXT(H29),"",(B29*$B$7/100)+(C29*$C$7/100))</f>
        <v>0.0172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15</v>
      </c>
      <c r="T29" s="216" t="n">
        <f aca="false">IF(ISERROR(R29*I29*J29),0,R29*I29*J29)</f>
        <v>30</v>
      </c>
      <c r="U29" s="228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RICCHA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130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85</v>
      </c>
      <c r="B30" s="223" t="n">
        <v>0.1</v>
      </c>
      <c r="C30" s="224" t="n">
        <v>0.1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Amblystegium riparium</v>
      </c>
      <c r="E30" s="225" t="e">
        <f aca="false">IF(D30="",0,VLOOKUP(D30,D$22:D29,1,0))</f>
        <v>#N/A</v>
      </c>
      <c r="F30" s="226" t="n">
        <f aca="false">($B30*$B$7+$C30*$C$7)/100</f>
        <v>0.1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5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Amblystegium riparium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1219</v>
      </c>
      <c r="Q30" s="215" t="n">
        <f aca="false">IF(ISTEXT(H30),"",(B30*$B$7/100)+(C30*$C$7/100))</f>
        <v>0.1</v>
      </c>
      <c r="R30" s="216" t="n">
        <f aca="false">IF(OR(ISTEXT(H30),Q30=0),"",IF(Q30&lt;0.1,1,IF(Q30&lt;1,2,IF(Q30&lt;10,3,IF(Q30&lt;50,4,IF(Q30&gt;=50,5,""))))))</f>
        <v>2</v>
      </c>
      <c r="S30" s="216" t="n">
        <f aca="false">IF(ISERROR(R30*I30),0,R30*I30)</f>
        <v>10</v>
      </c>
      <c r="T30" s="216" t="n">
        <f aca="false">IF(ISERROR(R30*I30*J30),0,R30*I30*J30)</f>
        <v>20</v>
      </c>
      <c r="U30" s="228" t="n">
        <f aca="false">IF(ISERROR(R30*J30),0,R30*J30)</f>
        <v>4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AMBRIP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148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86</v>
      </c>
      <c r="B31" s="223" t="n">
        <v>0.5</v>
      </c>
      <c r="C31" s="224" t="n">
        <v>0.5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Cinclidotus aquaticus</v>
      </c>
      <c r="E31" s="225" t="e">
        <f aca="false">IF(D31="",0,VLOOKUP(D31,D$22:D30,1,0))</f>
        <v>#N/A</v>
      </c>
      <c r="F31" s="226" t="n">
        <f aca="false">($B31*$B$7+$C31*$C$7)/100</f>
        <v>0.5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15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Cinclidotus aquaticus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1318</v>
      </c>
      <c r="Q31" s="215" t="n">
        <f aca="false">IF(ISTEXT(H31),"",(B31*$B$7/100)+(C31*$C$7/100))</f>
        <v>0.5</v>
      </c>
      <c r="R31" s="216" t="n">
        <f aca="false">IF(OR(ISTEXT(H31),Q31=0),"",IF(Q31&lt;0.1,1,IF(Q31&lt;1,2,IF(Q31&lt;10,3,IF(Q31&lt;50,4,IF(Q31&gt;=50,5,""))))))</f>
        <v>2</v>
      </c>
      <c r="S31" s="216" t="n">
        <f aca="false">IF(ISERROR(R31*I31),0,R31*I31)</f>
        <v>30</v>
      </c>
      <c r="T31" s="216" t="n">
        <f aca="false">IF(ISERROR(R31*I31*J31),0,R31*I31*J31)</f>
        <v>60</v>
      </c>
      <c r="U31" s="228" t="n">
        <f aca="false">IF(ISERROR(R31*J31),0,R31*J31)</f>
        <v>4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CINAQU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170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16</v>
      </c>
      <c r="B32" s="223" t="n">
        <v>3.1</v>
      </c>
      <c r="C32" s="224" t="n">
        <v>1.5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Cinclidotus riparius</v>
      </c>
      <c r="E32" s="225" t="e">
        <f aca="false">IF(D32="",0,VLOOKUP(D32,D$22:D31,1,0))</f>
        <v>#N/A</v>
      </c>
      <c r="F32" s="226" t="n">
        <f aca="false">($B32*$B$7+$C32*$C$7)/100</f>
        <v>2.972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13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2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Cinclidotus riparius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1321</v>
      </c>
      <c r="Q32" s="215" t="n">
        <f aca="false">IF(ISTEXT(H32),"",(B32*$B$7/100)+(C32*$C$7/100))</f>
        <v>2.972</v>
      </c>
      <c r="R32" s="216" t="n">
        <f aca="false">IF(OR(ISTEXT(H32),Q32=0),"",IF(Q32&lt;0.1,1,IF(Q32&lt;1,2,IF(Q32&lt;10,3,IF(Q32&lt;50,4,IF(Q32&gt;=50,5,""))))))</f>
        <v>3</v>
      </c>
      <c r="S32" s="216" t="n">
        <f aca="false">IF(ISERROR(R32*I32),0,R32*I32)</f>
        <v>39</v>
      </c>
      <c r="T32" s="216" t="n">
        <f aca="false">IF(ISERROR(R32*I32*J32),0,R32*I32*J32)</f>
        <v>78</v>
      </c>
      <c r="U32" s="228" t="n">
        <f aca="false">IF(ISERROR(R32*J32),0,R32*J32)</f>
        <v>6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CINRIP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174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23" t="n">
        <v>0.1</v>
      </c>
      <c r="C33" s="224" t="n">
        <v>5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Fontinalis antipyretica</v>
      </c>
      <c r="E33" s="225" t="e">
        <f aca="false">IF(D33="",0,VLOOKUP(D33,D$22:D32,1,0))</f>
        <v>#N/A</v>
      </c>
      <c r="F33" s="226" t="n">
        <f aca="false">($B33*$B$7+$C33*$C$7)/100</f>
        <v>0.492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10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Fontinalis antipyretica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1310</v>
      </c>
      <c r="Q33" s="215" t="n">
        <f aca="false">IF(ISTEXT(H33),"",(B33*$B$7/100)+(C33*$C$7/100))</f>
        <v>0.492</v>
      </c>
      <c r="R33" s="216" t="n">
        <f aca="false">IF(OR(ISTEXT(H33),Q33=0),"",IF(Q33&lt;0.1,1,IF(Q33&lt;1,2,IF(Q33&lt;10,3,IF(Q33&lt;50,4,IF(Q33&gt;=50,5,""))))))</f>
        <v>2</v>
      </c>
      <c r="S33" s="216" t="n">
        <f aca="false">IF(ISERROR(R33*I33),0,R33*I33)</f>
        <v>20</v>
      </c>
      <c r="T33" s="216" t="n">
        <f aca="false">IF(ISERROR(R33*I33*J33),0,R33*I33*J33)</f>
        <v>20</v>
      </c>
      <c r="U33" s="228" t="n">
        <f aca="false">IF(ISERROR(R33*J33),0,R33*J33)</f>
        <v>2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FONANT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210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88</v>
      </c>
      <c r="B34" s="223" t="n">
        <v>1.5</v>
      </c>
      <c r="C34" s="224" t="n">
        <v>2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Rhynchostegium riparioides</v>
      </c>
      <c r="E34" s="225" t="e">
        <f aca="false">IF(D34="",0,VLOOKUP(D34,D$22:D33,1,0))</f>
        <v>#N/A</v>
      </c>
      <c r="F34" s="230" t="n">
        <f aca="false">($B34*$B$7+$C34*$C$7)/100</f>
        <v>1.54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BRm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5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12</v>
      </c>
      <c r="J34" s="210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Rhynchostegium riparioides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1268</v>
      </c>
      <c r="Q34" s="215" t="n">
        <f aca="false">IF(ISTEXT(H34),"",(B34*$B$7/100)+(C34*$C$7/100))</f>
        <v>1.54</v>
      </c>
      <c r="R34" s="216" t="n">
        <f aca="false">IF(OR(ISTEXT(H34),Q34=0),"",IF(Q34&lt;0.1,1,IF(Q34&lt;1,2,IF(Q34&lt;10,3,IF(Q34&lt;50,4,IF(Q34&gt;=50,5,""))))))</f>
        <v>3</v>
      </c>
      <c r="S34" s="216" t="n">
        <f aca="false">IF(ISERROR(R34*I34),0,R34*I34)</f>
        <v>36</v>
      </c>
      <c r="T34" s="216" t="n">
        <f aca="false">IF(ISERROR(R34*I34*J34),0,R34*I34*J34)</f>
        <v>36</v>
      </c>
      <c r="U34" s="228" t="n">
        <f aca="false">IF(ISERROR(R34*J34),0,R34*J34)</f>
        <v>3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RHYRIP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252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89</v>
      </c>
      <c r="B35" s="223" t="n">
        <v>0.01</v>
      </c>
      <c r="C35" s="224" t="n">
        <v>0.01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Fissidens crassipes</v>
      </c>
      <c r="E35" s="225" t="e">
        <f aca="false">IF(D35="",0,VLOOKUP(D35,D$22:D34,1,0))</f>
        <v>#N/A</v>
      </c>
      <c r="F35" s="230" t="n">
        <f aca="false">($B35*$B$7+$C35*$C$7)/100</f>
        <v>0.01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BRm</v>
      </c>
      <c r="H35" s="209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5</v>
      </c>
      <c r="I35" s="210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12</v>
      </c>
      <c r="J35" s="210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Fissidens crassipes</v>
      </c>
      <c r="L35" s="227"/>
      <c r="M35" s="227"/>
      <c r="N35" s="227"/>
      <c r="O35" s="213"/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1294</v>
      </c>
      <c r="Q35" s="215" t="n">
        <f aca="false">IF(ISTEXT(H35),"",(B35*$B$7/100)+(C35*$C$7/100))</f>
        <v>0.01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12</v>
      </c>
      <c r="T35" s="216" t="n">
        <f aca="false">IF(ISERROR(R35*I35*J35),0,R35*I35*J35)</f>
        <v>24</v>
      </c>
      <c r="U35" s="228" t="n">
        <f aca="false">IF(ISERROR(R35*J35),0,R35*J35)</f>
        <v>2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FISCRA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197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90</v>
      </c>
      <c r="B36" s="223" t="n">
        <v>0</v>
      </c>
      <c r="C36" s="224" t="n">
        <v>0.01</v>
      </c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Reynoutria japonica</v>
      </c>
      <c r="E36" s="225" t="e">
        <f aca="false">IF(D36="",0,VLOOKUP(D36,D$22:D35,1,0))</f>
        <v>#N/A</v>
      </c>
      <c r="F36" s="230" t="n">
        <f aca="false">($B36*$B$7+$C36*$C$7)/100</f>
        <v>0.0008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PHe</v>
      </c>
      <c r="H36" s="209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8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Reynoutria japonica</v>
      </c>
      <c r="L36" s="227"/>
      <c r="M36" s="227"/>
      <c r="N36" s="227"/>
      <c r="O36" s="213"/>
      <c r="P36" s="214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19988</v>
      </c>
      <c r="Q36" s="215" t="n">
        <f aca="false">IF(ISTEXT(H36),"",(B36*$B$7/100)+(C36*$C$7/100))</f>
        <v>0.0008</v>
      </c>
      <c r="R36" s="216" t="n">
        <f aca="false">IF(OR(ISTEXT(H36),Q36=0),"",IF(Q36&lt;0.1,1,IF(Q36&lt;1,2,IF(Q36&lt;10,3,IF(Q36&lt;50,4,IF(Q36&gt;=50,5,""))))))</f>
        <v>1</v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>REYJAP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644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91</v>
      </c>
      <c r="B37" s="223" t="n">
        <v>0</v>
      </c>
      <c r="C37" s="224" t="n">
        <v>0.01</v>
      </c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0.0008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    -</v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Salix sp.</v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No</v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>newcod</v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 t="s">
        <v>92</v>
      </c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Albarine</v>
      </c>
      <c r="B84" s="258" t="str">
        <f aca="false">C3</f>
        <v>ALBARINE A ARGIS</v>
      </c>
      <c r="C84" s="259" t="n">
        <f aca="false">A4</f>
        <v>41463</v>
      </c>
      <c r="D84" s="260" t="n">
        <f aca="false">IF(ISERROR(SUM($T$23:$T$82)/SUM($U$23:$U$82)),"",SUM($T$23:$T$82)/SUM($U$23:$U$82))</f>
        <v>10.9117647058824</v>
      </c>
      <c r="E84" s="261" t="n">
        <f aca="false">N13</f>
        <v>15</v>
      </c>
      <c r="F84" s="258" t="n">
        <f aca="false">N14</f>
        <v>13</v>
      </c>
      <c r="G84" s="258" t="n">
        <f aca="false">N15</f>
        <v>6</v>
      </c>
      <c r="H84" s="258" t="n">
        <f aca="false">N16</f>
        <v>7</v>
      </c>
      <c r="I84" s="258" t="n">
        <f aca="false">N17</f>
        <v>0</v>
      </c>
      <c r="J84" s="262" t="n">
        <f aca="false">N8</f>
        <v>10.8461538461538</v>
      </c>
      <c r="K84" s="260" t="n">
        <f aca="false">N9</f>
        <v>3.65526288323591</v>
      </c>
      <c r="L84" s="261" t="n">
        <f aca="false">N10</f>
        <v>4</v>
      </c>
      <c r="M84" s="261" t="n">
        <f aca="false">N11</f>
        <v>15</v>
      </c>
      <c r="N84" s="260" t="n">
        <f aca="false">O8</f>
        <v>1.53846153846154</v>
      </c>
      <c r="O84" s="260" t="n">
        <f aca="false">O9</f>
        <v>0.498518515262143</v>
      </c>
      <c r="P84" s="261" t="n">
        <f aca="false">O10</f>
        <v>1</v>
      </c>
      <c r="Q84" s="261" t="n">
        <f aca="false">O11</f>
        <v>2</v>
      </c>
      <c r="R84" s="261" t="n">
        <f aca="false">F21</f>
        <v>8.0436</v>
      </c>
      <c r="S84" s="261" t="n">
        <f aca="false">K11</f>
        <v>0</v>
      </c>
      <c r="T84" s="261" t="n">
        <f aca="false">K12</f>
        <v>6</v>
      </c>
      <c r="U84" s="261" t="n">
        <f aca="false">K13</f>
        <v>7</v>
      </c>
      <c r="V84" s="263" t="n">
        <f aca="false">K14</f>
        <v>0</v>
      </c>
      <c r="W84" s="264" t="n">
        <f aca="false">K15</f>
        <v>1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94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95</v>
      </c>
      <c r="R87" s="10"/>
      <c r="S87" s="217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96</v>
      </c>
      <c r="R88" s="10"/>
      <c r="S88" s="217" t="n">
        <f aca="false">VLOOKUP((S87),($S$23:$U$82),2,0)</f>
        <v>78</v>
      </c>
      <c r="T88" s="10"/>
      <c r="U88" s="10"/>
      <c r="V88" s="10"/>
    </row>
    <row r="89" customFormat="false" ht="12.75" hidden="true" customHeight="false" outlineLevel="0" collapsed="false">
      <c r="Q89" s="10" t="s">
        <v>97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98</v>
      </c>
      <c r="R90" s="10"/>
      <c r="S90" s="267" t="n">
        <f aca="false">IF(ISERROR(SUM($T$23:$T$82)/SUM($U$23:$U$82)),"",(SUM($T$23:$T$82)-S88)/(SUM($U$23:$U$82)-S89))</f>
        <v>10.4642857142857</v>
      </c>
      <c r="T90" s="10"/>
    </row>
    <row r="91" customFormat="false" ht="12.75" hidden="false" customHeight="false" outlineLevel="0" collapsed="false">
      <c r="Q91" s="216" t="s">
        <v>99</v>
      </c>
      <c r="R91" s="216"/>
      <c r="S91" s="216" t="str">
        <f aca="false">INDEX('[1]liste reference'!$A$8:$A$904,$T$91)</f>
        <v>CINRIP</v>
      </c>
      <c r="T91" s="10" t="n">
        <f aca="false">IF(ISERROR(MATCH($S$93,'[1]liste reference'!$A$8:$A$904,0)),MATCH($S$93,'[1]liste reference'!$B$8:$B$904,0),(MATCH($S$93,'[1]liste reference'!$A$8:$A$904,0)))</f>
        <v>174</v>
      </c>
      <c r="U91" s="256"/>
    </row>
    <row r="92" customFormat="false" ht="12.75" hidden="false" customHeight="false" outlineLevel="0" collapsed="false">
      <c r="Q92" s="10" t="s">
        <v>100</v>
      </c>
      <c r="R92" s="10"/>
      <c r="S92" s="10" t="n">
        <f aca="false">MATCH(S87,$S$23:$S$82,0)</f>
        <v>10</v>
      </c>
      <c r="T92" s="10"/>
    </row>
    <row r="93" customFormat="false" ht="12.75" hidden="false" customHeight="false" outlineLevel="0" collapsed="false">
      <c r="Q93" s="216" t="s">
        <v>101</v>
      </c>
      <c r="R93" s="10"/>
      <c r="S93" s="216" t="str">
        <f aca="false">INDEX($A$23:$A$82,$S$92)</f>
        <v>CINRIP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2013-12-04T17:33:44Z</dcterms:created>
  <dc:creator>Laurent Bourgoin</dc:creator>
  <dc:description/>
  <dc:language>fr-FR</dc:language>
  <cp:lastModifiedBy>Laurent Bourgoin</cp:lastModifiedBy>
  <dcterms:modified xsi:type="dcterms:W3CDTF">2013-12-04T17:35:07Z</dcterms:modified>
  <cp:revision>0</cp:revision>
  <dc:subject/>
  <dc:title/>
</cp:coreProperties>
</file>