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<sst xmlns="http://schemas.openxmlformats.org/spreadsheetml/2006/main" count="169" uniqueCount="104">
  <si>
    <t xml:space="preserve">Relevés floristiques aquatiques - IBMR</t>
  </si>
  <si>
    <t xml:space="preserve">modèle Irstea-GIS</t>
  </si>
  <si>
    <t xml:space="preserve">SAGE</t>
  </si>
  <si>
    <t xml:space="preserve">L. BOURGOIN M. SCHNEIDER</t>
  </si>
  <si>
    <t xml:space="preserve">ALBARINE</t>
  </si>
  <si>
    <t xml:space="preserve">ALBARINE A ARGIS 1</t>
  </si>
  <si>
    <t xml:space="preserve">06090600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</si>
  <si>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</si>
  <si>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</si>
  <si>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</si>
  <si>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</si>
  <si>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</si>
  <si>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</si>
  <si>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</si>
  <si>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</si>
  <si>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</si>
  <si>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CINAQU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</si>
  <si>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</si>
  <si>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</si>
  <si>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</si>
  <si>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</si>
  <si>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moyen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</si>
  <si>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</si>
  <si>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</si>
  <si>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</si>
  <si>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</si>
  <si>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</si>
  <si>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</si>
  <si>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</si>
  <si>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</si>
  <si>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</si>
  <si>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</si>
  <si>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très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</si>
  <si>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</si>
  <si>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</si>
  <si>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</si>
  <si>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</si>
  <si>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</si>
  <si>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</si>
  <si>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</si>
  <si>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</si>
  <si>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</si>
  <si>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</si>
  <si>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</si>
  <si>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</si>
  <si>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</si>
  <si>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</si>
  <si>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</si>
  <si>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</si>
  <si>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</si>
  <si>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</si>
  <si>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</si>
  <si>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</si>
  <si>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</si>
  <si>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</si>
  <si>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</si>
  <si>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</si>
  <si>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</si>
  <si>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</si>
  <si>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</si>
  <si>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</si>
  <si>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</si>
  <si>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</si>
  <si>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</si>
  <si>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</si>
  <si>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</si>
  <si>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</si>
  <si>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</si>
  <si>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</si>
  <si>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</si>
  <si>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</si>
  <si>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</si>
  <si>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</si>
  <si>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</si>
  <si>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</si>
  <si>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</si>
  <si>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</si>
  <si>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</si>
  <si>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</si>
  <si>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</si>
  <si>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</si>
  <si>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</si>
  <si>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LEASPX</t>
  </si>
  <si>
    <t xml:space="preserve">MELSPX</t>
  </si>
  <si>
    <t xml:space="preserve">NOSSPX</t>
  </si>
  <si>
    <t xml:space="preserve">OEDSPX</t>
  </si>
  <si>
    <t xml:space="preserve">PHOSPX</t>
  </si>
  <si>
    <t xml:space="preserve">STISPX</t>
  </si>
  <si>
    <t xml:space="preserve">ULOSPX</t>
  </si>
  <si>
    <t xml:space="preserve">VAUSPX</t>
  </si>
  <si>
    <t xml:space="preserve">PELEND</t>
  </si>
  <si>
    <t xml:space="preserve">CINFON</t>
  </si>
  <si>
    <t xml:space="preserve">FISCRA</t>
  </si>
  <si>
    <t xml:space="preserve">FONANT</t>
  </si>
  <si>
    <t xml:space="preserve">LEORIP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</si>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</sst>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ALBARG_09-06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42164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10.5121951219512</v>
      </c>
      <c r="N5" s="51"/>
      <c r="O5" s="52" t="s">
        <v>16</v>
      </c>
      <c r="P5" s="53" t="n">
        <v>9.74285714285714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2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95</v>
      </c>
      <c r="C7" s="69" t="n">
        <v>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10.1333333333333</v>
      </c>
      <c r="P8" s="83" t="n">
        <f aca="false">IF(ISERROR(AVERAGE(K23:K82)),"  ",AVERAGE(K23:K82))</f>
        <v>1.53333333333333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11.74</v>
      </c>
      <c r="C9" s="86" t="n">
        <v>14.48</v>
      </c>
      <c r="D9" s="87"/>
      <c r="E9" s="87"/>
      <c r="F9" s="88" t="n">
        <f aca="false">($B9*$B$7+$C9*$C$7)/100</f>
        <v>11.877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3.40326640482673</v>
      </c>
      <c r="P9" s="83" t="n">
        <f aca="false">IF(ISERROR(STDEVP(K23:K82)),"  ",STDEVP(K23:K82))</f>
        <v>0.498887651569859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15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 t="n">
        <v>5.12</v>
      </c>
      <c r="C12" s="111" t="n">
        <v>3.25</v>
      </c>
      <c r="D12" s="87"/>
      <c r="E12" s="87"/>
      <c r="F12" s="104" t="n">
        <f aca="false">($B12*$B$7+$C12*$C$7)/100</f>
        <v>5.0265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9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 t="n">
        <v>6.62</v>
      </c>
      <c r="C13" s="111" t="n">
        <v>11.23</v>
      </c>
      <c r="D13" s="87"/>
      <c r="E13" s="87"/>
      <c r="F13" s="104" t="n">
        <f aca="false">($B13*$B$7+$C13*$C$7)/100</f>
        <v>6.8505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7</v>
      </c>
      <c r="M13" s="108"/>
      <c r="N13" s="116" t="s">
        <v>42</v>
      </c>
      <c r="O13" s="117" t="n">
        <f aca="false">COUNTIF(F23:F82,"&gt;0")</f>
        <v>16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0</v>
      </c>
      <c r="M14" s="108"/>
      <c r="N14" s="119" t="s">
        <v>45</v>
      </c>
      <c r="O14" s="120" t="n">
        <f aca="false">COUNTIF($J$23:$J$82,"&gt;-1")</f>
        <v>15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48</v>
      </c>
      <c r="O15" s="117" t="n">
        <f aca="false">COUNTIF(K23:K82,"=1")</f>
        <v>7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8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 t="n">
        <v>11.74</v>
      </c>
      <c r="C17" s="111" t="n">
        <v>14.48</v>
      </c>
      <c r="D17" s="87"/>
      <c r="E17" s="87"/>
      <c r="F17" s="129"/>
      <c r="G17" s="130" t="n">
        <f aca="false">($B17*$B$7+$C17*$C$7)/100</f>
        <v>11.877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0.9375</v>
      </c>
      <c r="N17" s="116" t="s">
        <v>53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/>
      <c r="C18" s="138"/>
      <c r="D18" s="87"/>
      <c r="E18" s="139" t="s">
        <v>55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11.877</v>
      </c>
      <c r="G19" s="150" t="n">
        <f aca="false">SUM(G16:G18)</f>
        <v>11.877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11.74</v>
      </c>
      <c r="C20" s="160" t="n">
        <f aca="false">SUM(C23:C62)</f>
        <v>14.48</v>
      </c>
      <c r="D20" s="161"/>
      <c r="E20" s="162" t="s">
        <v>55</v>
      </c>
      <c r="F20" s="163" t="n">
        <f aca="false">($B20*$B$7+$C20*$C$7)/100</f>
        <v>11.877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11.153</v>
      </c>
      <c r="C21" s="171" t="n">
        <f aca="false">C20*C7/100</f>
        <v>0.724</v>
      </c>
      <c r="D21" s="172" t="s">
        <v>58</v>
      </c>
      <c r="E21" s="173"/>
      <c r="F21" s="174" t="n">
        <f aca="false">B21+C21</f>
        <v>11.877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80</v>
      </c>
      <c r="B23" s="199" t="n">
        <v>3.47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3.2965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81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3.2965</v>
      </c>
      <c r="S23" s="212" t="n">
        <f aca="false">IF(OR(ISTEXT(H23),R23=0),"",IF(R23&lt;0.1,1,IF(R23&lt;1,2,IF(R23&lt;10,3,IF(R23&lt;50,4,IF(R23&gt;=50,5,""))))))</f>
        <v>3</v>
      </c>
      <c r="T23" s="212" t="n">
        <f aca="false">IF(ISERROR(S23*J23),0,S23*J23)</f>
        <v>18</v>
      </c>
      <c r="U23" s="212" t="n">
        <f aca="false">IF(ISERROR(S23*J23*K23),0,S23*J23*K23)</f>
        <v>18</v>
      </c>
      <c r="V23" s="212" t="n">
        <f aca="false">IF(ISERROR(S23*K23),0,S23*K23)</f>
        <v>3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82</v>
      </c>
      <c r="B24" s="217" t="n">
        <v>0.01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Lemanea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0.0095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15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Lemanea sp.</v>
      </c>
      <c r="M24" s="225"/>
      <c r="N24" s="225"/>
      <c r="O24" s="225"/>
      <c r="P24" s="226" t="s">
        <v>81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1159</v>
      </c>
      <c r="R24" s="211" t="n">
        <f aca="false">IF(ISTEXT(H24),"",(B24*$B$7/100)+(C24*$C$7/100))</f>
        <v>0.0095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15</v>
      </c>
      <c r="U24" s="212" t="n">
        <f aca="false">IF(ISERROR(S24*J24*K24),0,S24*J24*K24)</f>
        <v>30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LEASPX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59</v>
      </c>
    </row>
    <row r="25" customFormat="false" ht="12.75" hidden="false" customHeight="false" outlineLevel="0" collapsed="false">
      <c r="A25" s="216" t="s">
        <v>83</v>
      </c>
      <c r="B25" s="217" t="n">
        <v>0.03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Melosira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0.0285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10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Melosira sp.</v>
      </c>
      <c r="M25" s="225"/>
      <c r="N25" s="225"/>
      <c r="O25" s="225"/>
      <c r="P25" s="226" t="s">
        <v>81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8714</v>
      </c>
      <c r="R25" s="211" t="n">
        <f aca="false">IF(ISTEXT(H25),"",(B25*$B$7/100)+(C25*$C$7/100))</f>
        <v>0.0285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10</v>
      </c>
      <c r="U25" s="212" t="n">
        <f aca="false">IF(ISERROR(S25*J25*K25),0,S25*J25*K25)</f>
        <v>10</v>
      </c>
      <c r="V25" s="228" t="n">
        <f aca="false">IF(ISERROR(S25*K25),0,S25*K25)</f>
        <v>1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MELSPX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62</v>
      </c>
    </row>
    <row r="26" customFormat="false" ht="12.75" hidden="false" customHeight="false" outlineLevel="0" collapsed="false">
      <c r="A26" s="216" t="s">
        <v>84</v>
      </c>
      <c r="B26" s="217" t="n">
        <v>0.01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Nostoc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0.0095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9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Nostoc sp.</v>
      </c>
      <c r="M26" s="225"/>
      <c r="N26" s="225"/>
      <c r="O26" s="225"/>
      <c r="P26" s="226" t="s">
        <v>81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1105</v>
      </c>
      <c r="R26" s="211" t="n">
        <f aca="false">IF(ISTEXT(H26),"",(B26*$B$7/100)+(C26*$C$7/100))</f>
        <v>0.0095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9</v>
      </c>
      <c r="U26" s="212" t="n">
        <f aca="false">IF(ISERROR(S26*J26*K26),0,S26*J26*K26)</f>
        <v>9</v>
      </c>
      <c r="V26" s="228" t="n">
        <f aca="false">IF(ISERROR(S26*K26),0,S26*K26)</f>
        <v>1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NOSSPX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84</v>
      </c>
    </row>
    <row r="27" customFormat="false" ht="12.75" hidden="false" customHeight="false" outlineLevel="0" collapsed="false">
      <c r="A27" s="216" t="s">
        <v>85</v>
      </c>
      <c r="B27" s="217" t="n">
        <v>0.08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Oedogonium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0.076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6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Oedogonium sp.</v>
      </c>
      <c r="M27" s="225"/>
      <c r="N27" s="225"/>
      <c r="O27" s="225"/>
      <c r="P27" s="226" t="s">
        <v>81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1134</v>
      </c>
      <c r="R27" s="211" t="n">
        <f aca="false">IF(ISTEXT(H27),"",(B27*$B$7/100)+(C27*$C$7/100))</f>
        <v>0.076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6</v>
      </c>
      <c r="U27" s="212" t="n">
        <f aca="false">IF(ISERROR(S27*J27*K27),0,S27*J27*K27)</f>
        <v>12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OEDSPX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85</v>
      </c>
    </row>
    <row r="28" customFormat="false" ht="12.75" hidden="false" customHeight="false" outlineLevel="0" collapsed="false">
      <c r="A28" s="216" t="s">
        <v>86</v>
      </c>
      <c r="B28" s="217" t="n">
        <v>0.5</v>
      </c>
      <c r="C28" s="218" t="n">
        <v>0.25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Phormidium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0.4875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13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Phormidium sp.</v>
      </c>
      <c r="M28" s="225"/>
      <c r="N28" s="225"/>
      <c r="O28" s="225"/>
      <c r="P28" s="226" t="s">
        <v>81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6414</v>
      </c>
      <c r="R28" s="211" t="n">
        <f aca="false">IF(ISTEXT(H28),"",(B28*$B$7/100)+(C28*$C$7/100))</f>
        <v>0.4875</v>
      </c>
      <c r="S28" s="212" t="n">
        <f aca="false">IF(OR(ISTEXT(H28),R28=0),"",IF(R28&lt;0.1,1,IF(R28&lt;1,2,IF(R28&lt;10,3,IF(R28&lt;50,4,IF(R28&gt;=50,5,""))))))</f>
        <v>2</v>
      </c>
      <c r="T28" s="212" t="n">
        <f aca="false">IF(ISERROR(S28*J28),0,S28*J28)</f>
        <v>26</v>
      </c>
      <c r="U28" s="212" t="n">
        <f aca="false">IF(ISERROR(S28*J28*K28),0,S28*J28*K28)</f>
        <v>52</v>
      </c>
      <c r="V28" s="228" t="n">
        <f aca="false">IF(ISERROR(S28*K28),0,S28*K28)</f>
        <v>4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PHOSPX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88</v>
      </c>
    </row>
    <row r="29" customFormat="false" ht="12.75" hidden="false" customHeight="false" outlineLevel="0" collapsed="false">
      <c r="A29" s="216" t="s">
        <v>87</v>
      </c>
      <c r="B29" s="217" t="n">
        <v>0</v>
      </c>
      <c r="C29" s="218" t="n">
        <v>1.2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Stigeoclonium sp. (excep. S. tenue)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0.06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ALG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2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13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Stigeoclonium sp. (excep. S. tenue)</v>
      </c>
      <c r="M29" s="225"/>
      <c r="N29" s="225"/>
      <c r="O29" s="225"/>
      <c r="P29" s="226" t="s">
        <v>81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1119</v>
      </c>
      <c r="R29" s="211" t="n">
        <f aca="false">IF(ISTEXT(H29),"",(B29*$B$7/100)+(C29*$C$7/100))</f>
        <v>0.06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13</v>
      </c>
      <c r="U29" s="212" t="n">
        <f aca="false">IF(ISERROR(S29*J29*K29),0,S29*J29*K29)</f>
        <v>26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STISPX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104</v>
      </c>
    </row>
    <row r="30" customFormat="false" ht="12.75" hidden="false" customHeight="false" outlineLevel="0" collapsed="false">
      <c r="A30" s="216" t="s">
        <v>88</v>
      </c>
      <c r="B30" s="217" t="n">
        <v>0.03</v>
      </c>
      <c r="C30" s="218" t="n">
        <v>0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Ulothrix sp.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0.0285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ALG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2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10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1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Ulothrix sp.</v>
      </c>
      <c r="M30" s="225"/>
      <c r="N30" s="225"/>
      <c r="O30" s="225"/>
      <c r="P30" s="226" t="s">
        <v>81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1142</v>
      </c>
      <c r="R30" s="211" t="n">
        <f aca="false">IF(ISTEXT(H30),"",(B30*$B$7/100)+(C30*$C$7/100))</f>
        <v>0.0285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10</v>
      </c>
      <c r="U30" s="212" t="n">
        <f aca="false">IF(ISERROR(S30*J30*K30),0,S30*J30*K30)</f>
        <v>10</v>
      </c>
      <c r="V30" s="228" t="n">
        <f aca="false">IF(ISERROR(S30*K30),0,S30*K30)</f>
        <v>1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ULOSPX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116</v>
      </c>
    </row>
    <row r="31" customFormat="false" ht="12.75" hidden="false" customHeight="false" outlineLevel="0" collapsed="false">
      <c r="A31" s="216" t="s">
        <v>89</v>
      </c>
      <c r="B31" s="217" t="n">
        <v>0.99</v>
      </c>
      <c r="C31" s="218" t="n">
        <v>1.8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Vaucheria sp.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1.0305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ALG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2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4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1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Vaucheria sp.</v>
      </c>
      <c r="M31" s="225"/>
      <c r="N31" s="225"/>
      <c r="O31" s="225"/>
      <c r="P31" s="226" t="s">
        <v>81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1169</v>
      </c>
      <c r="R31" s="211" t="n">
        <f aca="false">IF(ISTEXT(H31),"",(B31*$B$7/100)+(C31*$C$7/100))</f>
        <v>1.0305</v>
      </c>
      <c r="S31" s="212" t="n">
        <f aca="false">IF(OR(ISTEXT(H31),R31=0),"",IF(R31&lt;0.1,1,IF(R31&lt;1,2,IF(R31&lt;10,3,IF(R31&lt;50,4,IF(R31&gt;=50,5,""))))))</f>
        <v>3</v>
      </c>
      <c r="T31" s="212" t="n">
        <f aca="false">IF(ISERROR(S31*J31),0,S31*J31)</f>
        <v>12</v>
      </c>
      <c r="U31" s="212" t="n">
        <f aca="false">IF(ISERROR(S31*J31*K31),0,S31*J31*K31)</f>
        <v>12</v>
      </c>
      <c r="V31" s="228" t="n">
        <f aca="false">IF(ISERROR(S31*K31),0,S31*K31)</f>
        <v>3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VAUSPX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118</v>
      </c>
    </row>
    <row r="32" customFormat="false" ht="12.75" hidden="false" customHeight="false" outlineLevel="0" collapsed="false">
      <c r="A32" s="216" t="s">
        <v>90</v>
      </c>
      <c r="B32" s="217" t="n">
        <v>0.01</v>
      </c>
      <c r="C32" s="218" t="n">
        <v>0.01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Pellia endiviifolia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0.01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BRh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4</v>
      </c>
      <c r="I32" s="8" t="n">
        <f aca="false">IF(A32="","",1)</f>
        <v>1</v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nc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nc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Pellia endiviifolia</v>
      </c>
      <c r="M32" s="225"/>
      <c r="N32" s="225"/>
      <c r="O32" s="225"/>
      <c r="P32" s="226" t="s">
        <v>81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1197</v>
      </c>
      <c r="R32" s="211" t="n">
        <f aca="false">IF(ISTEXT(H32),"",(B32*$B$7/100)+(C32*$C$7/100))</f>
        <v>0.01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PELEND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167</v>
      </c>
    </row>
    <row r="33" customFormat="false" ht="12.75" hidden="false" customHeight="false" outlineLevel="0" collapsed="false">
      <c r="A33" s="216" t="s">
        <v>16</v>
      </c>
      <c r="B33" s="217" t="n">
        <v>1</v>
      </c>
      <c r="C33" s="218" t="n">
        <v>1</v>
      </c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Cinclidotus aquaticus</v>
      </c>
      <c r="E33" s="220" t="e">
        <f aca="false">IF(D33="",0,VLOOKUP(D33,D$22:D32,1,0))</f>
        <v>#N/A</v>
      </c>
      <c r="F33" s="221" t="n">
        <f aca="false">IF(AND(OR(A33="",A33="!!!!!!"),B33="",C33=""),"",IF(OR(AND(B33="",C33=""),ISERROR(C33+B33)),"!!!",($B33*$B$7+$C33*$C$7)/100))</f>
        <v>1</v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BRm</v>
      </c>
      <c r="H33" s="223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5</v>
      </c>
      <c r="I33" s="8" t="n">
        <f aca="false">IF(A33="","",1)</f>
        <v>1</v>
      </c>
      <c r="J33" s="224" t="n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15</v>
      </c>
      <c r="K33" s="224" t="n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2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Cinclidotus aquaticus</v>
      </c>
      <c r="M33" s="225"/>
      <c r="N33" s="225"/>
      <c r="O33" s="225"/>
      <c r="P33" s="226" t="s">
        <v>81</v>
      </c>
      <c r="Q33" s="227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1318</v>
      </c>
      <c r="R33" s="211" t="n">
        <f aca="false">IF(ISTEXT(H33),"",(B33*$B$7/100)+(C33*$C$7/100))</f>
        <v>1</v>
      </c>
      <c r="S33" s="212" t="n">
        <f aca="false">IF(OR(ISTEXT(H33),R33=0),"",IF(R33&lt;0.1,1,IF(R33&lt;1,2,IF(R33&lt;10,3,IF(R33&lt;50,4,IF(R33&gt;=50,5,""))))))</f>
        <v>3</v>
      </c>
      <c r="T33" s="212" t="n">
        <f aca="false">IF(ISERROR(S33*J33),0,S33*J33)</f>
        <v>45</v>
      </c>
      <c r="U33" s="212" t="n">
        <f aca="false">IF(ISERROR(S33*J33*K33),0,S33*J33*K33)</f>
        <v>90</v>
      </c>
      <c r="V33" s="228" t="n">
        <f aca="false">IF(ISERROR(S33*K33),0,S33*K33)</f>
        <v>6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>CINAQU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221</v>
      </c>
    </row>
    <row r="34" customFormat="false" ht="12.75" hidden="false" customHeight="false" outlineLevel="0" collapsed="false">
      <c r="A34" s="216" t="s">
        <v>91</v>
      </c>
      <c r="B34" s="217" t="n">
        <v>3.5</v>
      </c>
      <c r="C34" s="218" t="n">
        <v>7</v>
      </c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>Cinclidotus fontinaloides</v>
      </c>
      <c r="E34" s="220" t="e">
        <f aca="false">IF(D34="",0,VLOOKUP(D34,D$22:D33,1,0))</f>
        <v>#N/A</v>
      </c>
      <c r="F34" s="221" t="n">
        <f aca="false">IF(AND(OR(A34="",A34="!!!!!!"),B34="",C34=""),"",IF(OR(AND(B34="",C34=""),ISERROR(C34+B34)),"!!!",($B34*$B$7+$C34*$C$7)/100))</f>
        <v>3.675</v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BRm</v>
      </c>
      <c r="H34" s="223" t="n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5</v>
      </c>
      <c r="I34" s="8" t="n">
        <f aca="false">IF(A34="","",1)</f>
        <v>1</v>
      </c>
      <c r="J34" s="224" t="n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12</v>
      </c>
      <c r="K34" s="224" t="n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2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Cinclidotus fontinaloides</v>
      </c>
      <c r="M34" s="225"/>
      <c r="N34" s="225"/>
      <c r="O34" s="225"/>
      <c r="P34" s="226" t="s">
        <v>81</v>
      </c>
      <c r="Q34" s="227" t="n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1320</v>
      </c>
      <c r="R34" s="211" t="n">
        <f aca="false">IF(ISTEXT(H34),"",(B34*$B$7/100)+(C34*$C$7/100))</f>
        <v>3.675</v>
      </c>
      <c r="S34" s="212" t="n">
        <f aca="false">IF(OR(ISTEXT(H34),R34=0),"",IF(R34&lt;0.1,1,IF(R34&lt;1,2,IF(R34&lt;10,3,IF(R34&lt;50,4,IF(R34&gt;=50,5,""))))))</f>
        <v>3</v>
      </c>
      <c r="T34" s="212" t="n">
        <f aca="false">IF(ISERROR(S34*J34),0,S34*J34)</f>
        <v>36</v>
      </c>
      <c r="U34" s="212" t="n">
        <f aca="false">IF(ISERROR(S34*J34*K34),0,S34*J34*K34)</f>
        <v>72</v>
      </c>
      <c r="V34" s="228" t="n">
        <f aca="false">IF(ISERROR(S34*K34),0,S34*K34)</f>
        <v>6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>CINFON</v>
      </c>
      <c r="Z34" s="197" t="n">
        <f aca="false">IF(ISERROR(MATCH(A34,'[1]liste reference'!$A$6:$A$1174,0)),IF(ISERROR(MATCH(A34,'[1]liste reference'!$B$6:$B$1174,0)),"",(MATCH(A34,'[1]liste reference'!$B$6:$B$1174,0))),(MATCH(A34,'[1]liste reference'!$A$6:$A$1174,0)))</f>
        <v>223</v>
      </c>
    </row>
    <row r="35" customFormat="false" ht="12.75" hidden="false" customHeight="false" outlineLevel="0" collapsed="false">
      <c r="A35" s="216" t="s">
        <v>92</v>
      </c>
      <c r="B35" s="217" t="n">
        <v>0</v>
      </c>
      <c r="C35" s="218" t="n">
        <v>0.01</v>
      </c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>Fissidens crassipes</v>
      </c>
      <c r="E35" s="220" t="e">
        <f aca="false">IF(D35="",0,VLOOKUP(D35,D$22:D34,1,0))</f>
        <v>#N/A</v>
      </c>
      <c r="F35" s="221" t="n">
        <f aca="false">IF(AND(OR(A35="",A35="!!!!!!"),B35="",C35=""),"",IF(OR(AND(B35="",C35=""),ISERROR(C35+B35)),"!!!",($B35*$B$7+$C35*$C$7)/100))</f>
        <v>0.0005</v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>BRm</v>
      </c>
      <c r="H35" s="223" t="n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5</v>
      </c>
      <c r="I35" s="8" t="n">
        <f aca="false">IF(A35="","",1)</f>
        <v>1</v>
      </c>
      <c r="J35" s="224" t="n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12</v>
      </c>
      <c r="K35" s="224" t="n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2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>Fissidens crassipes</v>
      </c>
      <c r="M35" s="225"/>
      <c r="N35" s="225"/>
      <c r="O35" s="225"/>
      <c r="P35" s="226" t="s">
        <v>81</v>
      </c>
      <c r="Q35" s="227" t="n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>1294</v>
      </c>
      <c r="R35" s="211" t="n">
        <f aca="false">IF(ISTEXT(H35),"",(B35*$B$7/100)+(C35*$C$7/100))</f>
        <v>0.0005</v>
      </c>
      <c r="S35" s="212" t="n">
        <f aca="false">IF(OR(ISTEXT(H35),R35=0),"",IF(R35&lt;0.1,1,IF(R35&lt;1,2,IF(R35&lt;10,3,IF(R35&lt;50,4,IF(R35&gt;=50,5,""))))))</f>
        <v>1</v>
      </c>
      <c r="T35" s="212" t="n">
        <f aca="false">IF(ISERROR(S35*J35),0,S35*J35)</f>
        <v>12</v>
      </c>
      <c r="U35" s="212" t="n">
        <f aca="false">IF(ISERROR(S35*J35*K35),0,S35*J35*K35)</f>
        <v>24</v>
      </c>
      <c r="V35" s="228" t="n">
        <f aca="false">IF(ISERROR(S35*K35),0,S35*K35)</f>
        <v>2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>FISCRA</v>
      </c>
      <c r="Z35" s="197" t="n">
        <f aca="false">IF(ISERROR(MATCH(A35,'[1]liste reference'!$A$6:$A$1174,0)),IF(ISERROR(MATCH(A35,'[1]liste reference'!$B$6:$B$1174,0)),"",(MATCH(A35,'[1]liste reference'!$B$6:$B$1174,0))),(MATCH(A35,'[1]liste reference'!$A$6:$A$1174,0)))</f>
        <v>255</v>
      </c>
    </row>
    <row r="36" customFormat="false" ht="12.75" hidden="false" customHeight="false" outlineLevel="0" collapsed="false">
      <c r="A36" s="216" t="s">
        <v>93</v>
      </c>
      <c r="B36" s="217" t="n">
        <v>0.01</v>
      </c>
      <c r="C36" s="218" t="n">
        <v>0.01</v>
      </c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>Fontinalis antipyretica</v>
      </c>
      <c r="E36" s="220" t="e">
        <f aca="false">IF(D36="",0,VLOOKUP(D36,D$22:D35,1,0))</f>
        <v>#N/A</v>
      </c>
      <c r="F36" s="221" t="n">
        <f aca="false">IF(AND(OR(A36="",A36="!!!!!!"),B36="",C36=""),"",IF(OR(AND(B36="",C36=""),ISERROR(C36+B36)),"!!!",($B36*$B$7+$C36*$C$7)/100))</f>
        <v>0.01</v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>BRm</v>
      </c>
      <c r="H36" s="223" t="n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5</v>
      </c>
      <c r="I36" s="8" t="n">
        <f aca="false">IF(A36="","",1)</f>
        <v>1</v>
      </c>
      <c r="J36" s="224" t="n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10</v>
      </c>
      <c r="K36" s="224" t="n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1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>Fontinalis antipyretica</v>
      </c>
      <c r="M36" s="225"/>
      <c r="N36" s="225"/>
      <c r="O36" s="225"/>
      <c r="P36" s="226" t="s">
        <v>81</v>
      </c>
      <c r="Q36" s="227" t="n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>1310</v>
      </c>
      <c r="R36" s="211" t="n">
        <f aca="false">IF(ISTEXT(H36),"",(B36*$B$7/100)+(C36*$C$7/100))</f>
        <v>0.01</v>
      </c>
      <c r="S36" s="212" t="n">
        <f aca="false">IF(OR(ISTEXT(H36),R36=0),"",IF(R36&lt;0.1,1,IF(R36&lt;1,2,IF(R36&lt;10,3,IF(R36&lt;50,4,IF(R36&gt;=50,5,""))))))</f>
        <v>1</v>
      </c>
      <c r="T36" s="212" t="n">
        <f aca="false">IF(ISERROR(S36*J36),0,S36*J36)</f>
        <v>10</v>
      </c>
      <c r="U36" s="212" t="n">
        <f aca="false">IF(ISERROR(S36*J36*K36),0,S36*J36*K36)</f>
        <v>10</v>
      </c>
      <c r="V36" s="228" t="n">
        <f aca="false">IF(ISERROR(S36*K36),0,S36*K36)</f>
        <v>1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>FONANT</v>
      </c>
      <c r="Z36" s="197" t="n">
        <f aca="false">IF(ISERROR(MATCH(A36,'[1]liste reference'!$A$6:$A$1174,0)),IF(ISERROR(MATCH(A36,'[1]liste reference'!$B$6:$B$1174,0)),"",(MATCH(A36,'[1]liste reference'!$B$6:$B$1174,0))),(MATCH(A36,'[1]liste reference'!$A$6:$A$1174,0)))</f>
        <v>273</v>
      </c>
    </row>
    <row r="37" customFormat="false" ht="12.75" hidden="false" customHeight="false" outlineLevel="0" collapsed="false">
      <c r="A37" s="216" t="s">
        <v>94</v>
      </c>
      <c r="B37" s="217" t="n">
        <v>0.1</v>
      </c>
      <c r="C37" s="218" t="n">
        <v>2</v>
      </c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>Leptodictyum riparium </v>
      </c>
      <c r="E37" s="220" t="e">
        <f aca="false">IF(D37="",0,VLOOKUP(D37,D$22:D36,1,0))</f>
        <v>#N/A</v>
      </c>
      <c r="F37" s="221" t="n">
        <f aca="false">IF(AND(OR(A37="",A37="!!!!!!"),B37="",C37=""),"",IF(OR(AND(B37="",C37=""),ISERROR(C37+B37)),"!!!",($B37*$B$7+$C37*$C$7)/100))</f>
        <v>0.195</v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>BRm</v>
      </c>
      <c r="H37" s="223" t="n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5</v>
      </c>
      <c r="I37" s="8" t="n">
        <f aca="false">IF(A37="","",1)</f>
        <v>1</v>
      </c>
      <c r="J37" s="224" t="n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5</v>
      </c>
      <c r="K37" s="224" t="n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2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>Leptodictyum riparium </v>
      </c>
      <c r="M37" s="225"/>
      <c r="N37" s="225"/>
      <c r="O37" s="225"/>
      <c r="P37" s="226" t="s">
        <v>81</v>
      </c>
      <c r="Q37" s="227" t="n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>1244</v>
      </c>
      <c r="R37" s="211" t="n">
        <f aca="false">IF(ISTEXT(H37),"",(B37*$B$7/100)+(C37*$C$7/100))</f>
        <v>0.195</v>
      </c>
      <c r="S37" s="212" t="n">
        <f aca="false">IF(OR(ISTEXT(H37),R37=0),"",IF(R37&lt;0.1,1,IF(R37&lt;1,2,IF(R37&lt;10,3,IF(R37&lt;50,4,IF(R37&gt;=50,5,""))))))</f>
        <v>2</v>
      </c>
      <c r="T37" s="212" t="n">
        <f aca="false">IF(ISERROR(S37*J37),0,S37*J37)</f>
        <v>10</v>
      </c>
      <c r="U37" s="212" t="n">
        <f aca="false">IF(ISERROR(S37*J37*K37),0,S37*J37*K37)</f>
        <v>20</v>
      </c>
      <c r="V37" s="228" t="n">
        <f aca="false">IF(ISERROR(S37*K37),0,S37*K37)</f>
        <v>4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>LEORIP</v>
      </c>
      <c r="Z37" s="197" t="n">
        <f aca="false">IF(ISERROR(MATCH(A37,'[1]liste reference'!$A$6:$A$1174,0)),IF(ISERROR(MATCH(A37,'[1]liste reference'!$B$6:$B$1174,0)),"",(MATCH(A37,'[1]liste reference'!$B$6:$B$1174,0))),(MATCH(A37,'[1]liste reference'!$A$6:$A$1174,0)))</f>
        <v>298</v>
      </c>
    </row>
    <row r="38" customFormat="false" ht="12.75" hidden="false" customHeight="false" outlineLevel="0" collapsed="false">
      <c r="A38" s="216" t="s">
        <v>95</v>
      </c>
      <c r="B38" s="217" t="n">
        <v>2</v>
      </c>
      <c r="C38" s="218" t="n">
        <v>1.2</v>
      </c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>Rhynchostegium riparioides</v>
      </c>
      <c r="E38" s="220" t="e">
        <f aca="false">IF(D38="",0,VLOOKUP(D38,D$22:D37,1,0))</f>
        <v>#N/A</v>
      </c>
      <c r="F38" s="221" t="n">
        <f aca="false">IF(AND(OR(A38="",A38="!!!!!!"),B38="",C38=""),"",IF(OR(AND(B38="",C38=""),ISERROR(C38+B38)),"!!!",($B38*$B$7+$C38*$C$7)/100))</f>
        <v>1.96</v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>BRm</v>
      </c>
      <c r="H38" s="223" t="n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5</v>
      </c>
      <c r="I38" s="8" t="n">
        <f aca="false">IF(A38="","",1)</f>
        <v>1</v>
      </c>
      <c r="J38" s="224" t="n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12</v>
      </c>
      <c r="K38" s="224" t="n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1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>Rhynchostegium riparioides</v>
      </c>
      <c r="M38" s="225"/>
      <c r="N38" s="225"/>
      <c r="O38" s="225"/>
      <c r="P38" s="226" t="s">
        <v>81</v>
      </c>
      <c r="Q38" s="227" t="n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>31691</v>
      </c>
      <c r="R38" s="211" t="n">
        <f aca="false">IF(ISTEXT(H38),"",(B38*$B$7/100)+(C38*$C$7/100))</f>
        <v>1.96</v>
      </c>
      <c r="S38" s="212" t="n">
        <f aca="false">IF(OR(ISTEXT(H38),R38=0),"",IF(R38&lt;0.1,1,IF(R38&lt;1,2,IF(R38&lt;10,3,IF(R38&lt;50,4,IF(R38&gt;=50,5,""))))))</f>
        <v>3</v>
      </c>
      <c r="T38" s="212" t="n">
        <f aca="false">IF(ISERROR(S38*J38),0,S38*J38)</f>
        <v>36</v>
      </c>
      <c r="U38" s="212" t="n">
        <f aca="false">IF(ISERROR(S38*J38*K38),0,S38*J38*K38)</f>
        <v>36</v>
      </c>
      <c r="V38" s="228" t="n">
        <f aca="false">IF(ISERROR(S38*K38),0,S38*K38)</f>
        <v>3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>RHYRIP</v>
      </c>
      <c r="Z38" s="197" t="n">
        <f aca="false">IF(ISERROR(MATCH(A38,'[1]liste reference'!$A$6:$A$1174,0)),IF(ISERROR(MATCH(A38,'[1]liste reference'!$B$6:$B$1174,0)),"",(MATCH(A38,'[1]liste reference'!$B$6:$B$1174,0))),(MATCH(A38,'[1]liste reference'!$A$6:$A$1174,0)))</f>
        <v>345</v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81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81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81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81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81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81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81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81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81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81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81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81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81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81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81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81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81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81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81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81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81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81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81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81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81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81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81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81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81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81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81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81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81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81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81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81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81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81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81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81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81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81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81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81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11.877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41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ALBARINE</v>
      </c>
      <c r="B84" s="180" t="str">
        <f aca="false">C3</f>
        <v>ALBARINE A ARGIS 1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10.5121951219512</v>
      </c>
      <c r="E84" s="254" t="n">
        <f aca="false">O13</f>
        <v>16</v>
      </c>
      <c r="F84" s="180" t="n">
        <f aca="false">O14</f>
        <v>15</v>
      </c>
      <c r="G84" s="180" t="n">
        <f aca="false">O15</f>
        <v>7</v>
      </c>
      <c r="H84" s="180" t="n">
        <f aca="false">O16</f>
        <v>8</v>
      </c>
      <c r="I84" s="180" t="n">
        <f aca="false">O17</f>
        <v>0</v>
      </c>
      <c r="J84" s="255" t="n">
        <f aca="false">O8</f>
        <v>10.1333333333333</v>
      </c>
      <c r="K84" s="256" t="n">
        <f aca="false">O9</f>
        <v>3.40326640482673</v>
      </c>
      <c r="L84" s="257" t="n">
        <f aca="false">O10</f>
        <v>4</v>
      </c>
      <c r="M84" s="257" t="n">
        <f aca="false">O11</f>
        <v>15</v>
      </c>
      <c r="N84" s="256" t="n">
        <f aca="false">P8</f>
        <v>1.53333333333333</v>
      </c>
      <c r="O84" s="256" t="n">
        <f aca="false">P9</f>
        <v>0.498887651569859</v>
      </c>
      <c r="P84" s="257" t="n">
        <f aca="false">P10</f>
        <v>1</v>
      </c>
      <c r="Q84" s="257" t="n">
        <f aca="false">P11</f>
        <v>2</v>
      </c>
      <c r="R84" s="257" t="n">
        <f aca="false">F21</f>
        <v>11.877</v>
      </c>
      <c r="S84" s="257" t="n">
        <f aca="false">L11</f>
        <v>0</v>
      </c>
      <c r="T84" s="257" t="n">
        <f aca="false">L12</f>
        <v>9</v>
      </c>
      <c r="U84" s="257" t="n">
        <f aca="false">L13</f>
        <v>7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96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97</v>
      </c>
      <c r="S87" s="8"/>
      <c r="T87" s="263" t="n">
        <f aca="false">VLOOKUP($T$91,($A$23:$U$82),20,FALSE())</f>
        <v>45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98</v>
      </c>
      <c r="S88" s="8"/>
      <c r="T88" s="263" t="n">
        <f aca="false">VLOOKUP($T$91,($A$23:$U$82),21,FALSE())</f>
        <v>90</v>
      </c>
      <c r="U88" s="8"/>
      <c r="V88" s="8" t="n">
        <f aca="false">COUNTIF(V23:V82,T89)</f>
        <v>2</v>
      </c>
    </row>
    <row r="89" customFormat="false" ht="12.75" hidden="true" customHeight="false" outlineLevel="0" collapsed="false">
      <c r="C89" s="261"/>
      <c r="D89" s="261"/>
      <c r="E89" s="261"/>
      <c r="R89" s="8" t="s">
        <v>99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100</v>
      </c>
      <c r="S90" s="8" t="s">
        <v>10</v>
      </c>
      <c r="T90" s="264" t="n">
        <f aca="false">IF(OR(ISERROR(SUM($U$23:$U$82)/SUM($V$23:$V$82)),F7&lt;&gt;100),-1,(SUM($U$23:$U$82)-T88)/(SUM($V$23:$V$82)-T89))</f>
        <v>9.74285714285714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101</v>
      </c>
      <c r="S91" s="212"/>
      <c r="T91" s="212" t="str">
        <f aca="false">INDEX('[1]liste reference'!$A$6:$A$1174,$U$91)</f>
        <v>CINAQU</v>
      </c>
      <c r="U91" s="8" t="n">
        <f aca="false">IF(ISERROR(MATCH($T$93,'[1]liste reference'!$A$6:$A$1174,0)),MATCH($T$93,'[1]liste reference'!$B$6:$B$1174,0),(MATCH($T$93,'[1]liste reference'!$A$6:$A$1174,0)))</f>
        <v>221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102</v>
      </c>
      <c r="S92" s="8"/>
      <c r="T92" s="8" t="n">
        <f aca="false">MATCH(T89,$V$23:$V$82,0)</f>
        <v>11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103</v>
      </c>
      <c r="S93" s="8"/>
      <c r="T93" s="212" t="str">
        <f aca="false">INDEX($A$23:$A$82,$T$92)</f>
        <v>CINAQU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2016-01-26T11:22:33Z</dcterms:created>
  <dc:creator>laurianne isebe</dc:creator>
  <dc:description/>
  <dc:language>fr-FR</dc:language>
  <cp:lastModifiedBy>laurianne isebe</cp:lastModifiedBy>
  <dcterms:modified xsi:type="dcterms:W3CDTF">2016-01-26T11:22:38Z</dcterms:modified>
  <cp:revision>0</cp:revision>
  <dc:subject/>
  <dc:title/>
</cp:coreProperties>
</file>