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<sst xmlns="http://schemas.openxmlformats.org/spreadsheetml/2006/main" count="101" uniqueCount="98">
  <si>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</si>
  <si>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</si>
  <si>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</si>
  <si>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BOURGOIN</t>
  </si>
  <si>
    <t xml:space="preserve">conforme AFNOR T90-395 oct. 2003</t>
  </si>
  <si>
    <t xml:space="preserve">Toison</t>
  </si>
  <si>
    <t xml:space="preserve">Toison a Villieu Loyes Mollon </t>
  </si>
  <si>
    <t xml:space="preserve">06091625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</si>
  <si>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</si>
  <si>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</si>
  <si>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</si>
  <si>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</si>
  <si>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</si>
  <si>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</si>
  <si>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</si>
  <si>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</si>
  <si>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</si>
  <si>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</si>
  <si>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</si>
  <si>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</si>
  <si>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moyen</t>
  </si>
  <si>
    <t xml:space="preserve">(moyen)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</si>
  <si>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</si>
  <si>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</si>
  <si>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</si>
  <si>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</si>
  <si>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</si>
  <si>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</si>
  <si>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</si>
  <si>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</si>
  <si>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</si>
  <si>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</si>
  <si>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</si>
  <si>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</si>
  <si>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</si>
  <si>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</si>
  <si>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</si>
  <si>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</si>
  <si>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</si>
  <si>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</si>
  <si>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</si>
  <si>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</si>
  <si>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</si>
  <si>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</si>
  <si>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</si>
  <si>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</si>
  <si>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</si>
  <si>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</si>
  <si>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</si>
  <si>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</si>
  <si>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</si>
  <si>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</si>
  <si>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</si>
  <si>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</si>
  <si>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</si>
  <si>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</si>
  <si>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</si>
  <si>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</si>
  <si>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</si>
  <si>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</si>
  <si>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</si>
  <si>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</si>
  <si>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</si>
  <si>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</si>
  <si>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</si>
  <si>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</si>
  <si>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</si>
  <si>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</si>
  <si>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</si>
  <si>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</si>
  <si>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</si>
  <si>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</si>
  <si>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</si>
  <si>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</si>
  <si>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</si>
  <si>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</si>
  <si>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</si>
  <si>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</si>
  <si>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</si>
  <si>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HILSPX</t>
  </si>
  <si>
    <t xml:space="preserve">OSCSPX</t>
  </si>
  <si>
    <t xml:space="preserve">VAUSPX</t>
  </si>
  <si>
    <t xml:space="preserve">AMBRIP</t>
  </si>
  <si>
    <t xml:space="preserve">CINAQU</t>
  </si>
  <si>
    <t xml:space="preserve">FISCRA</t>
  </si>
  <si>
    <t xml:space="preserve">FONANT</t>
  </si>
  <si>
    <t xml:space="preserve">RHYRIP</t>
  </si>
  <si>
    <t xml:space="preserve">GLYFLU</t>
  </si>
  <si>
    <t xml:space="preserve">VERBEC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</si>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</sst>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7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7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7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7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7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20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7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0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7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0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1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1832400</xdr:colOff>
      <xdr:row>2</xdr:row>
      <xdr:rowOff>109440</xdr:rowOff>
    </xdr:to>
    <xdr:grpSp>
      <xdr:nvGrpSpPr>
        <xdr:cNvPr id="1" name="Group 6"/>
        <xdr:cNvGrpSpPr/>
      </xdr:nvGrpSpPr>
      <xdr:grpSpPr>
        <a:xfrm>
          <a:off x="10038960" y="38160"/>
          <a:ext cx="1751400" cy="433080"/>
          <a:chOff x="10038960" y="38160"/>
          <a:chExt cx="175140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1832400</xdr:colOff>
      <xdr:row>8</xdr:row>
      <xdr:rowOff>71280</xdr:rowOff>
    </xdr:to>
    <xdr:grpSp>
      <xdr:nvGrpSpPr>
        <xdr:cNvPr id="2" name="Group 9"/>
        <xdr:cNvGrpSpPr/>
      </xdr:nvGrpSpPr>
      <xdr:grpSpPr>
        <a:xfrm>
          <a:off x="10038960" y="533520"/>
          <a:ext cx="1751400" cy="918720"/>
          <a:chOff x="10038960" y="533520"/>
          <a:chExt cx="175140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TOIVIL_27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41087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11.7307692307692</v>
      </c>
      <c r="M5" s="53"/>
      <c r="N5" s="54"/>
      <c r="O5" s="55" t="n">
        <v>10.75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10.3636363636364</v>
      </c>
      <c r="O8" s="83" t="n">
        <f aca="false">AVERAGE(J23:J82)</f>
        <v>1.45454545454545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4.44</v>
      </c>
      <c r="C9" s="86" t="n">
        <v>0.03</v>
      </c>
      <c r="D9" s="87"/>
      <c r="E9" s="87"/>
      <c r="F9" s="88" t="n">
        <f aca="false">($B9*$B$7+$C9*$C$7)/100</f>
        <v>3.7785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3.88001874409718</v>
      </c>
      <c r="O9" s="83" t="n">
        <f aca="false">STDEV(J23:J82)</f>
        <v>0.522232967867094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15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2.71</v>
      </c>
      <c r="C12" s="118" t="n">
        <v>0.01</v>
      </c>
      <c r="D12" s="110"/>
      <c r="E12" s="110"/>
      <c r="F12" s="111" t="n">
        <f aca="false">($B12*$B$7+$C12*$C$7)/100</f>
        <v>2.305</v>
      </c>
      <c r="G12" s="119"/>
      <c r="H12" s="68"/>
      <c r="I12" s="120" t="s">
        <v>37</v>
      </c>
      <c r="J12" s="120"/>
      <c r="K12" s="114" t="n">
        <f aca="false">COUNTIF($G$23:$G$82,"=ALG")</f>
        <v>4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1.73</v>
      </c>
      <c r="C13" s="118"/>
      <c r="D13" s="110"/>
      <c r="E13" s="110"/>
      <c r="F13" s="111" t="n">
        <f aca="false">($B13*$B$7+$C13*$C$7)/100</f>
        <v>1.4705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5</v>
      </c>
      <c r="L13" s="115"/>
      <c r="M13" s="126" t="s">
        <v>40</v>
      </c>
      <c r="N13" s="127" t="n">
        <f aca="false">COUNTIF(F23:F82,"&gt;0")</f>
        <v>11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11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 t="n">
        <v>0.02</v>
      </c>
      <c r="D15" s="110"/>
      <c r="E15" s="110"/>
      <c r="F15" s="111" t="n">
        <f aca="false">($B15*$B$7+$C15*$C$7)/100</f>
        <v>0.003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6" t="s">
        <v>46</v>
      </c>
      <c r="N15" s="137" t="n">
        <f aca="false">COUNTIF(J23:J82,"=1")</f>
        <v>6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5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3.44</v>
      </c>
      <c r="C17" s="118" t="n">
        <v>0.01</v>
      </c>
      <c r="D17" s="110"/>
      <c r="E17" s="110"/>
      <c r="F17" s="142"/>
      <c r="G17" s="111" t="n">
        <f aca="false">($B17*$B$7+$C17*$C$7)/100</f>
        <v>2.9255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 t="n">
        <v>0.02</v>
      </c>
      <c r="D18" s="110"/>
      <c r="E18" s="146" t="s">
        <v>52</v>
      </c>
      <c r="F18" s="142"/>
      <c r="G18" s="111" t="n">
        <f aca="false">($B18*$B$7+$C18*$C$7)/100</f>
        <v>0.003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3.7785</v>
      </c>
      <c r="G19" s="155" t="n">
        <f aca="false">SUM(G16:G18)</f>
        <v>2.9285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4.44</v>
      </c>
      <c r="C20" s="165" t="n">
        <f aca="false">SUM(C23:C82)</f>
        <v>0.03</v>
      </c>
      <c r="D20" s="166"/>
      <c r="E20" s="167" t="s">
        <v>52</v>
      </c>
      <c r="F20" s="168" t="n">
        <f aca="false">($B20*$B$7+$C20*$C$7)/100</f>
        <v>3.7785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3.774</v>
      </c>
      <c r="C21" s="178" t="n">
        <f aca="false">C20*C7/100</f>
        <v>0.0045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3.7785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0.6</v>
      </c>
      <c r="C23" s="205" t="n">
        <v>0</v>
      </c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Cladophora sp.</v>
      </c>
      <c r="E23" s="206" t="e">
        <f aca="false">IF(D23="",0,VLOOKUP(D23,D$22:D22,1,0))</f>
        <v>#N/A</v>
      </c>
      <c r="F23" s="207" t="n">
        <f aca="false">($B23*$B$7+$C23*$C$7)/100</f>
        <v>0.51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6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1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Cladophora sp.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0.51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n">
        <v>2</v>
      </c>
      <c r="W23" s="218"/>
      <c r="X23" s="218"/>
      <c r="Y23" s="219" t="str">
        <f aca="false">IF(A23="new.cod","NEWCOD",IF(AND((Z23=""),ISTEXT(A23)),A23,IF(Z23="","",INDEX('[1]liste reference'!$A$7:$A$892,Z23))))</f>
        <v>CLASPX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182</v>
      </c>
      <c r="AA23" s="220"/>
      <c r="AB23" s="221"/>
      <c r="AC23" s="221"/>
      <c r="BC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1.5</v>
      </c>
      <c r="C24" s="224" t="n">
        <v>0</v>
      </c>
      <c r="D24" s="225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Hildenbrandia sp.</v>
      </c>
      <c r="E24" s="225" t="e">
        <f aca="false">IF(D24="",0,VLOOKUP(D24,D$22:D23,1,0))</f>
        <v>#N/A</v>
      </c>
      <c r="F24" s="226" t="n">
        <f aca="false">($B24*$B$7+$C24*$C$7)/100</f>
        <v>1.275</v>
      </c>
      <c r="G24" s="227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8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15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Hildenbrandia sp.</v>
      </c>
      <c r="L24" s="229"/>
      <c r="M24" s="229"/>
      <c r="N24" s="229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1157</v>
      </c>
      <c r="Q24" s="215" t="n">
        <f aca="false">IF(ISTEXT(H24),"",(B24*$B$7/100)+(C24*$C$7/100))</f>
        <v>1.275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45</v>
      </c>
      <c r="T24" s="216" t="n">
        <f aca="false">IF(ISERROR(R24*I24*J24),0,R24*I24*J24)</f>
        <v>90</v>
      </c>
      <c r="U24" s="230" t="n">
        <f aca="false">IF(ISERROR(R24*J24),0,R24*J24)</f>
        <v>6</v>
      </c>
      <c r="V24" s="217" t="n">
        <v>6</v>
      </c>
      <c r="W24" s="231"/>
      <c r="Y24" s="219" t="str">
        <f aca="false">IF(A24="new.cod","NEWCOD",IF(AND((Z24=""),ISTEXT(A24)),A24,IF(Z24="","",INDEX('[1]liste reference'!$A$7:$A$892,Z24))))</f>
        <v>HILSPX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333</v>
      </c>
      <c r="AA24" s="220"/>
      <c r="AB24" s="221"/>
      <c r="AC24" s="221"/>
      <c r="BC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</v>
      </c>
      <c r="C25" s="224" t="n">
        <v>0.01</v>
      </c>
      <c r="D25" s="225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Oscillatoria sp.</v>
      </c>
      <c r="E25" s="225" t="e">
        <f aca="false">IF(D25="",0,VLOOKUP(D25,D$22:D24,1,0))</f>
        <v>#N/A</v>
      </c>
      <c r="F25" s="226" t="n">
        <f aca="false">($B25*$B$7+$C25*$C$7)/100</f>
        <v>0.0015</v>
      </c>
      <c r="G25" s="227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8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11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1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Oscillatoria sp.</v>
      </c>
      <c r="L25" s="229"/>
      <c r="M25" s="229"/>
      <c r="N25" s="229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118</v>
      </c>
      <c r="Q25" s="215" t="n">
        <f aca="false">IF(ISTEXT(H25),"",(B25*$B$7/100)+(C25*$C$7/100))</f>
        <v>0.0015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11</v>
      </c>
      <c r="T25" s="216" t="n">
        <f aca="false">IF(ISERROR(R25*I25*J25),0,R25*I25*J25)</f>
        <v>11</v>
      </c>
      <c r="U25" s="230" t="n">
        <f aca="false">IF(ISERROR(R25*J25),0,R25*J25)</f>
        <v>1</v>
      </c>
      <c r="V25" s="217" t="n">
        <v>1</v>
      </c>
      <c r="W25" s="218"/>
      <c r="Y25" s="219" t="str">
        <f aca="false">IF(A25="new.cod","NEWCOD",IF(AND((Z25=""),ISTEXT(A25)),A25,IF(Z25="","",INDEX('[1]liste reference'!$A$7:$A$892,Z25))))</f>
        <v>OSCSPX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551</v>
      </c>
      <c r="AA25" s="220"/>
      <c r="AB25" s="221"/>
      <c r="AC25" s="221"/>
      <c r="BC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0.61</v>
      </c>
      <c r="C26" s="224" t="n">
        <v>0</v>
      </c>
      <c r="D26" s="225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Vaucheria sp.</v>
      </c>
      <c r="E26" s="225" t="e">
        <f aca="false">IF(D26="",0,VLOOKUP(D26,D$22:D25,1,0))</f>
        <v>#N/A</v>
      </c>
      <c r="F26" s="226" t="n">
        <f aca="false">($B26*$B$7+$C26*$C$7)/100</f>
        <v>0.5185</v>
      </c>
      <c r="G26" s="227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8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4</v>
      </c>
      <c r="J26" s="211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1</v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Vaucheria sp.</v>
      </c>
      <c r="L26" s="229"/>
      <c r="M26" s="229"/>
      <c r="N26" s="229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6193</v>
      </c>
      <c r="Q26" s="215" t="n">
        <f aca="false">IF(ISTEXT(H26),"",(B26*$B$7/100)+(C26*$C$7/100))</f>
        <v>0.5185</v>
      </c>
      <c r="R26" s="216" t="n">
        <f aca="false">IF(OR(ISTEXT(H26),Q26=0),"",IF(Q26&lt;0.1,1,IF(Q26&lt;1,2,IF(Q26&lt;10,3,IF(Q26&lt;50,4,IF(Q26&gt;=50,5,""))))))</f>
        <v>2</v>
      </c>
      <c r="S26" s="216" t="n">
        <f aca="false">IF(ISERROR(R26*I26),0,R26*I26)</f>
        <v>8</v>
      </c>
      <c r="T26" s="216" t="n">
        <f aca="false">IF(ISERROR(R26*I26*J26),0,R26*I26*J26)</f>
        <v>8</v>
      </c>
      <c r="U26" s="230" t="n">
        <f aca="false">IF(ISERROR(R26*J26),0,R26*J26)</f>
        <v>2</v>
      </c>
      <c r="V26" s="217" t="n">
        <v>2</v>
      </c>
      <c r="W26" s="218"/>
      <c r="Y26" s="219" t="str">
        <f aca="false">IF(A26="new.cod","NEWCOD",IF(AND((Z26=""),ISTEXT(A26)),A26,IF(Z26="","",INDEX('[1]liste reference'!$A$7:$A$892,Z26))))</f>
        <v>VAUSPX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864</v>
      </c>
      <c r="AA26" s="220"/>
      <c r="AB26" s="221"/>
      <c r="AC26" s="221"/>
      <c r="BC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0.1</v>
      </c>
      <c r="C27" s="224" t="n">
        <v>0</v>
      </c>
      <c r="D27" s="225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Amblystegium riparium</v>
      </c>
      <c r="E27" s="225" t="e">
        <f aca="false">IF(D27="",0,VLOOKUP(D27,D$22:D26,1,0))</f>
        <v>#N/A</v>
      </c>
      <c r="F27" s="226" t="n">
        <f aca="false">($B27*$B$7+$C27*$C$7)/100</f>
        <v>0.085</v>
      </c>
      <c r="G27" s="227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BRm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5</v>
      </c>
      <c r="I27" s="228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5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Amblystegium riparium</v>
      </c>
      <c r="L27" s="229"/>
      <c r="M27" s="229"/>
      <c r="N27" s="229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1219</v>
      </c>
      <c r="Q27" s="215" t="n">
        <f aca="false">IF(ISTEXT(H27),"",(B27*$B$7/100)+(C27*$C$7/100))</f>
        <v>0.085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5</v>
      </c>
      <c r="T27" s="216" t="n">
        <f aca="false">IF(ISERROR(R27*I27*J27),0,R27*I27*J27)</f>
        <v>10</v>
      </c>
      <c r="U27" s="230" t="n">
        <f aca="false">IF(ISERROR(R27*J27),0,R27*J27)</f>
        <v>2</v>
      </c>
      <c r="V27" s="217" t="n">
        <v>2</v>
      </c>
      <c r="W27" s="218"/>
      <c r="Y27" s="219" t="str">
        <f aca="false">IF(A27="new.cod","NEWCOD",IF(AND((Z27=""),ISTEXT(A27)),A27,IF(Z27="","",INDEX('[1]liste reference'!$A$7:$A$892,Z27))))</f>
        <v>AMBRIP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24</v>
      </c>
      <c r="AA27" s="220"/>
      <c r="AB27" s="221"/>
      <c r="AC27" s="221"/>
      <c r="BC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1.5</v>
      </c>
      <c r="C28" s="224" t="n">
        <v>0</v>
      </c>
      <c r="D28" s="225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Cinclidotus aquaticus</v>
      </c>
      <c r="E28" s="225" t="e">
        <f aca="false">IF(D28="",0,VLOOKUP(D28,D$22:D27,1,0))</f>
        <v>#N/A</v>
      </c>
      <c r="F28" s="226" t="n">
        <f aca="false">($B28*$B$7+$C28*$C$7)/100</f>
        <v>1.275</v>
      </c>
      <c r="G28" s="227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BRm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5</v>
      </c>
      <c r="I28" s="228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15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2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Cinclidotus aquaticus</v>
      </c>
      <c r="L28" s="229"/>
      <c r="M28" s="229"/>
      <c r="N28" s="229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1318</v>
      </c>
      <c r="Q28" s="215" t="n">
        <f aca="false">IF(ISTEXT(H28),"",(B28*$B$7/100)+(C28*$C$7/100))</f>
        <v>1.275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45</v>
      </c>
      <c r="T28" s="216" t="n">
        <f aca="false">IF(ISERROR(R28*I28*J28),0,R28*I28*J28)</f>
        <v>90</v>
      </c>
      <c r="U28" s="230" t="n">
        <f aca="false">IF(ISERROR(R28*J28),0,R28*J28)</f>
        <v>6</v>
      </c>
      <c r="V28" s="217" t="n">
        <v>6</v>
      </c>
      <c r="W28" s="218"/>
      <c r="Y28" s="219" t="str">
        <f aca="false">IF(A28="new.cod","NEWCOD",IF(AND((Z28=""),ISTEXT(A28)),A28,IF(Z28="","",INDEX('[1]liste reference'!$A$7:$A$892,Z28))))</f>
        <v>CINAQU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173</v>
      </c>
      <c r="AA28" s="220"/>
      <c r="AB28" s="221"/>
      <c r="AC28" s="221"/>
      <c r="BC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0.02</v>
      </c>
      <c r="C29" s="224" t="n">
        <v>0</v>
      </c>
      <c r="D29" s="225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Fissidens crassipes</v>
      </c>
      <c r="E29" s="225" t="e">
        <f aca="false">IF(D29="",0,VLOOKUP(D29,D$22:D28,1,0))</f>
        <v>#N/A</v>
      </c>
      <c r="F29" s="226" t="n">
        <f aca="false">($B29*$B$7+$C29*$C$7)/100</f>
        <v>0.017</v>
      </c>
      <c r="G29" s="227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BRm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5</v>
      </c>
      <c r="I29" s="228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12</v>
      </c>
      <c r="J29" s="211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2</v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Fissidens crassipes</v>
      </c>
      <c r="L29" s="229"/>
      <c r="M29" s="229"/>
      <c r="N29" s="229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1294</v>
      </c>
      <c r="Q29" s="215" t="n">
        <f aca="false">IF(ISTEXT(H29),"",(B29*$B$7/100)+(C29*$C$7/100))</f>
        <v>0.017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12</v>
      </c>
      <c r="T29" s="216" t="n">
        <f aca="false">IF(ISERROR(R29*I29*J29),0,R29*I29*J29)</f>
        <v>24</v>
      </c>
      <c r="U29" s="230" t="n">
        <f aca="false">IF(ISERROR(R29*J29),0,R29*J29)</f>
        <v>2</v>
      </c>
      <c r="V29" s="217" t="n">
        <v>2</v>
      </c>
      <c r="W29" s="218"/>
      <c r="Y29" s="219" t="str">
        <f aca="false">IF(A29="new.cod","NEWCOD",IF(AND((Z29=""),ISTEXT(A29)),A29,IF(Z29="","",INDEX('[1]liste reference'!$A$7:$A$892,Z29))))</f>
        <v>FISCRA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291</v>
      </c>
      <c r="AA29" s="220"/>
      <c r="AB29" s="221"/>
      <c r="AC29" s="221"/>
      <c r="BC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 t="n">
        <v>0.01</v>
      </c>
      <c r="C30" s="224" t="n">
        <v>0</v>
      </c>
      <c r="D30" s="225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Fontinalis antipyretica</v>
      </c>
      <c r="E30" s="225" t="e">
        <f aca="false">IF(D30="",0,VLOOKUP(D30,D$22:D29,1,0))</f>
        <v>#N/A</v>
      </c>
      <c r="F30" s="226" t="n">
        <f aca="false">($B30*$B$7+$C30*$C$7)/100</f>
        <v>0.0085</v>
      </c>
      <c r="G30" s="227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BRm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5</v>
      </c>
      <c r="I30" s="228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10</v>
      </c>
      <c r="J30" s="211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1</v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Fontinalis antipyretica</v>
      </c>
      <c r="L30" s="229"/>
      <c r="M30" s="229"/>
      <c r="N30" s="229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131</v>
      </c>
      <c r="Q30" s="215" t="n">
        <f aca="false">IF(ISTEXT(H30),"",(B30*$B$7/100)+(C30*$C$7/100))</f>
        <v>0.0085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10</v>
      </c>
      <c r="T30" s="216" t="n">
        <f aca="false">IF(ISERROR(R30*I30*J30),0,R30*I30*J30)</f>
        <v>10</v>
      </c>
      <c r="U30" s="230" t="n">
        <f aca="false">IF(ISERROR(R30*J30),0,R30*J30)</f>
        <v>1</v>
      </c>
      <c r="V30" s="217" t="n">
        <v>1</v>
      </c>
      <c r="W30" s="218"/>
      <c r="Y30" s="219" t="str">
        <f aca="false">IF(A30="new.cod","NEWCOD",IF(AND((Z30=""),ISTEXT(A30)),A30,IF(Z30="","",INDEX('[1]liste reference'!$A$7:$A$892,Z30))))</f>
        <v>FONANT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304</v>
      </c>
      <c r="AA30" s="220"/>
      <c r="AB30" s="221"/>
      <c r="AC30" s="221"/>
      <c r="BC30" s="10" t="n">
        <f aca="false">IF(A30="","",1)</f>
        <v>1</v>
      </c>
    </row>
    <row r="31" customFormat="false" ht="12.75" hidden="false" customHeight="false" outlineLevel="0" collapsed="false">
      <c r="A31" s="222" t="s">
        <v>86</v>
      </c>
      <c r="B31" s="223" t="n">
        <v>0.1</v>
      </c>
      <c r="C31" s="224" t="n">
        <v>0</v>
      </c>
      <c r="D31" s="225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Rhynchostegium riparioides</v>
      </c>
      <c r="E31" s="225" t="e">
        <f aca="false">IF(D31="",0,VLOOKUP(D31,D$22:D30,1,0))</f>
        <v>#N/A</v>
      </c>
      <c r="F31" s="226" t="n">
        <f aca="false">($B31*$B$7+$C31*$C$7)/100</f>
        <v>0.085</v>
      </c>
      <c r="G31" s="227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BRm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5</v>
      </c>
      <c r="I31" s="228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12</v>
      </c>
      <c r="J31" s="211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1</v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Rhynchostegium riparioides</v>
      </c>
      <c r="L31" s="229"/>
      <c r="M31" s="229"/>
      <c r="N31" s="229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1268</v>
      </c>
      <c r="Q31" s="215" t="n">
        <f aca="false">IF(ISTEXT(H31),"",(B31*$B$7/100)+(C31*$C$7/100))</f>
        <v>0.085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12</v>
      </c>
      <c r="T31" s="216" t="n">
        <f aca="false">IF(ISERROR(R31*I31*J31),0,R31*I31*J31)</f>
        <v>12</v>
      </c>
      <c r="U31" s="230" t="n">
        <f aca="false">IF(ISERROR(R31*J31),0,R31*J31)</f>
        <v>1</v>
      </c>
      <c r="V31" s="217" t="n">
        <v>1</v>
      </c>
      <c r="W31" s="218"/>
      <c r="Y31" s="219" t="str">
        <f aca="false">IF(A31="new.cod","NEWCOD",IF(AND((Z31=""),ISTEXT(A31)),A31,IF(Z31="","",INDEX('[1]liste reference'!$A$7:$A$892,Z31))))</f>
        <v>RHYRIP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705</v>
      </c>
      <c r="AA31" s="220"/>
      <c r="AB31" s="221"/>
      <c r="AC31" s="221"/>
      <c r="BC31" s="10" t="n">
        <f aca="false">IF(A31="","",1)</f>
        <v>1</v>
      </c>
    </row>
    <row r="32" customFormat="false" ht="12.75" hidden="false" customHeight="false" outlineLevel="0" collapsed="false">
      <c r="A32" s="222" t="s">
        <v>87</v>
      </c>
      <c r="B32" s="223" t="n">
        <v>0</v>
      </c>
      <c r="C32" s="224" t="n">
        <v>0.01</v>
      </c>
      <c r="D32" s="225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Glyceria fluitans</v>
      </c>
      <c r="E32" s="225" t="e">
        <f aca="false">IF(D32="",0,VLOOKUP(D32,D$22:D31,1,0))</f>
        <v>#N/A</v>
      </c>
      <c r="F32" s="226" t="n">
        <f aca="false">($B32*$B$7+$C32*$C$7)/100</f>
        <v>0.0015</v>
      </c>
      <c r="G32" s="227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PHe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8</v>
      </c>
      <c r="I32" s="228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14</v>
      </c>
      <c r="J32" s="211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2</v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Glyceria fluitans</v>
      </c>
      <c r="L32" s="229"/>
      <c r="M32" s="229"/>
      <c r="N32" s="229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1564</v>
      </c>
      <c r="Q32" s="215" t="n">
        <f aca="false">IF(ISTEXT(H32),"",(B32*$B$7/100)+(C32*$C$7/100))</f>
        <v>0.0015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14</v>
      </c>
      <c r="T32" s="216" t="n">
        <f aca="false">IF(ISERROR(R32*I32*J32),0,R32*I32*J32)</f>
        <v>28</v>
      </c>
      <c r="U32" s="230" t="n">
        <f aca="false">IF(ISERROR(R32*J32),0,R32*J32)</f>
        <v>2</v>
      </c>
      <c r="V32" s="217" t="n">
        <v>2</v>
      </c>
      <c r="W32" s="218"/>
      <c r="Y32" s="219" t="str">
        <f aca="false">IF(A32="new.cod","NEWCOD",IF(AND((Z32=""),ISTEXT(A32)),A32,IF(Z32="","",INDEX('[1]liste reference'!$A$7:$A$892,Z32))))</f>
        <v>GLYFLU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320</v>
      </c>
      <c r="AA32" s="220"/>
      <c r="AB32" s="221"/>
      <c r="AC32" s="221"/>
      <c r="BC32" s="10" t="n">
        <f aca="false">IF(A32="","",1)</f>
        <v>1</v>
      </c>
    </row>
    <row r="33" customFormat="false" ht="12.75" hidden="false" customHeight="false" outlineLevel="0" collapsed="false">
      <c r="A33" s="222" t="s">
        <v>88</v>
      </c>
      <c r="B33" s="223" t="n">
        <v>0</v>
      </c>
      <c r="C33" s="224" t="n">
        <v>0.01</v>
      </c>
      <c r="D33" s="225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Veronica beccabunga</v>
      </c>
      <c r="E33" s="225" t="e">
        <f aca="false">IF(D33="",0,VLOOKUP(D33,D$22:D32,1,0))</f>
        <v>#N/A</v>
      </c>
      <c r="F33" s="226" t="n">
        <f aca="false">($B33*$B$7+$C33*$C$7)/100</f>
        <v>0.0015</v>
      </c>
      <c r="G33" s="227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PHe</v>
      </c>
      <c r="H33" s="209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8</v>
      </c>
      <c r="I33" s="228" t="n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>10</v>
      </c>
      <c r="J33" s="211" t="n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>1</v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Veronica beccabunga</v>
      </c>
      <c r="L33" s="229"/>
      <c r="M33" s="229"/>
      <c r="N33" s="229"/>
      <c r="O33" s="214" t="str">
        <f aca="false">IF(AA33="Cf.","Cf.","")</f>
        <v/>
      </c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1957</v>
      </c>
      <c r="Q33" s="215" t="n">
        <f aca="false">IF(ISTEXT(H33),"",(B33*$B$7/100)+(C33*$C$7/100))</f>
        <v>0.0015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10</v>
      </c>
      <c r="T33" s="216" t="n">
        <f aca="false">IF(ISERROR(R33*I33*J33),0,R33*I33*J33)</f>
        <v>10</v>
      </c>
      <c r="U33" s="230" t="n">
        <f aca="false">IF(ISERROR(R33*J33),0,R33*J33)</f>
        <v>1</v>
      </c>
      <c r="V33" s="217" t="n">
        <v>1</v>
      </c>
      <c r="W33" s="218"/>
      <c r="Y33" s="219" t="str">
        <f aca="false">IF(A33="new.cod","NEWCOD",IF(AND((Z33=""),ISTEXT(A33)),A33,IF(Z33="","",INDEX('[1]liste reference'!$A$7:$A$892,Z33))))</f>
        <v>VERBEC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867</v>
      </c>
      <c r="AA33" s="220"/>
      <c r="AB33" s="221"/>
      <c r="AC33" s="221"/>
      <c r="BC33" s="10" t="n">
        <f aca="false">IF(A33="","",1)</f>
        <v>1</v>
      </c>
    </row>
    <row r="34" customFormat="false" ht="12.75" hidden="false" customHeight="false" outlineLevel="0" collapsed="false">
      <c r="A34" s="222"/>
      <c r="B34" s="223"/>
      <c r="C34" s="224"/>
      <c r="D34" s="225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/>
      </c>
      <c r="E34" s="225" t="n">
        <f aca="false">IF(D34="",0,VLOOKUP(D34,D$22:D33,1,0))</f>
        <v>0</v>
      </c>
      <c r="F34" s="232" t="n">
        <f aca="false">($B34*$B$7+$C34*$C$7)/100</f>
        <v>0</v>
      </c>
      <c r="G34" s="227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/>
      </c>
      <c r="H34" s="209" t="str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x</v>
      </c>
      <c r="I34" s="228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/>
      </c>
      <c r="L34" s="229"/>
      <c r="M34" s="229"/>
      <c r="N34" s="229"/>
      <c r="O34" s="214" t="str">
        <f aca="false">IF(AA34="Cf.","Cf.","")</f>
        <v/>
      </c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30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/>
      </c>
      <c r="Z34" s="10" t="str">
        <f aca="false">IF(ISERROR(MATCH(A34,'[1]liste reference'!$A$7:$A$892,0)),IF(ISERROR(MATCH(A34,'[1]liste reference'!$B$7:$B$892,0)),"",(MATCH(A34,'[1]liste reference'!$B$7:$B$892,0))),(MATCH(A34,'[1]liste reference'!$A$7:$A$892,0)))</f>
        <v/>
      </c>
      <c r="AA34" s="220"/>
      <c r="AB34" s="221"/>
      <c r="AC34" s="221"/>
      <c r="BC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25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/>
      </c>
      <c r="E35" s="225" t="n">
        <f aca="false">IF(D35="",0,VLOOKUP(D35,D$22:D34,1,0))</f>
        <v>0</v>
      </c>
      <c r="F35" s="232" t="n">
        <f aca="false">($B35*$B$7+$C35*$C$7)/100</f>
        <v>0</v>
      </c>
      <c r="G35" s="227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/>
      </c>
      <c r="H35" s="209" t="str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x</v>
      </c>
      <c r="I35" s="228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1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/>
      </c>
      <c r="L35" s="229"/>
      <c r="M35" s="229"/>
      <c r="N35" s="229"/>
      <c r="O35" s="214" t="str">
        <f aca="false">IF(AA35="Cf.","Cf.","")</f>
        <v/>
      </c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30" t="n">
        <f aca="false">IF(ISERROR(R35*J35),0,R35*J35)</f>
        <v>0</v>
      </c>
      <c r="V35" s="217" t="n">
        <v>0</v>
      </c>
      <c r="W35" s="218"/>
      <c r="Y35" s="219" t="str">
        <f aca="false">IF(A35="new.cod","NEWCOD",IF(AND((Z35=""),ISTEXT(A35)),A35,IF(Z35="","",INDEX('[1]liste reference'!$A$7:$A$892,Z35))))</f>
        <v/>
      </c>
      <c r="Z35" s="10" t="str">
        <f aca="false">IF(ISERROR(MATCH(A35,'[1]liste reference'!$A$7:$A$892,0)),IF(ISERROR(MATCH(A35,'[1]liste reference'!$B$7:$B$892,0)),"",(MATCH(A35,'[1]liste reference'!$B$7:$B$892,0))),(MATCH(A35,'[1]liste reference'!$A$7:$A$892,0)))</f>
        <v/>
      </c>
      <c r="AA35" s="220"/>
      <c r="AB35" s="221"/>
      <c r="AC35" s="221"/>
      <c r="BC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25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5" t="n">
        <f aca="false">IF(D36="",0,VLOOKUP(D36,D$22:D35,1,0))</f>
        <v>0</v>
      </c>
      <c r="F36" s="232" t="n">
        <f aca="false">($B36*$B$7+$C36*$C$7)/100</f>
        <v>0</v>
      </c>
      <c r="G36" s="227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/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8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/>
      </c>
      <c r="L36" s="229"/>
      <c r="M36" s="229"/>
      <c r="N36" s="229"/>
      <c r="O36" s="214" t="str">
        <f aca="false">IF(AA36="Cf.","Cf.","")</f>
        <v/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30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/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/>
      <c r="AB36" s="221"/>
      <c r="AC36" s="221"/>
      <c r="BC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25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5" t="n">
        <f aca="false">IF(D37="",0,VLOOKUP(D37,D$22:D36,1,0))</f>
        <v>0</v>
      </c>
      <c r="F37" s="232" t="n">
        <f aca="false">($B37*$B$7+$C37*$C$7)/100</f>
        <v>0</v>
      </c>
      <c r="G37" s="227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/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8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/>
      </c>
      <c r="L37" s="229"/>
      <c r="M37" s="229"/>
      <c r="N37" s="229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30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/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/>
      <c r="AC37" s="221"/>
      <c r="BC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25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5" t="n">
        <f aca="false">IF(D38="",0,VLOOKUP(D38,D$22:D37,1,0))</f>
        <v>0</v>
      </c>
      <c r="F38" s="232" t="n">
        <f aca="false">($B38*$B$7+$C38*$C$7)/100</f>
        <v>0</v>
      </c>
      <c r="G38" s="227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8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9"/>
      <c r="M38" s="229"/>
      <c r="N38" s="229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30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25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5" t="n">
        <f aca="false">IF(D39="",0,VLOOKUP(D39,D$22:D38,1,0))</f>
        <v>0</v>
      </c>
      <c r="F39" s="232" t="n">
        <f aca="false">($B39*$B$7+$C39*$C$7)/100</f>
        <v>0</v>
      </c>
      <c r="G39" s="227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8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9"/>
      <c r="M39" s="229"/>
      <c r="N39" s="229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30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25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5" t="n">
        <f aca="false">IF(D40="",0,VLOOKUP(D40,D$22:D39,1,0))</f>
        <v>0</v>
      </c>
      <c r="F40" s="232" t="n">
        <f aca="false">($B40*$B$7+$C40*$C$7)/100</f>
        <v>0</v>
      </c>
      <c r="G40" s="227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8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9"/>
      <c r="M40" s="229"/>
      <c r="N40" s="229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30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25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5" t="n">
        <f aca="false">IF(D41="",0,VLOOKUP(D41,D$22:D40,1,0))</f>
        <v>0</v>
      </c>
      <c r="F41" s="232" t="n">
        <f aca="false">($B41*$B$7+$C41*$C$7)/100</f>
        <v>0</v>
      </c>
      <c r="G41" s="227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8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9"/>
      <c r="M41" s="229"/>
      <c r="N41" s="229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30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25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5" t="n">
        <f aca="false">IF(D42="",0,VLOOKUP(D42,D$22:D41,1,0))</f>
        <v>0</v>
      </c>
      <c r="F42" s="232" t="n">
        <f aca="false">($B42*$B$7+$C42*$C$7)/100</f>
        <v>0</v>
      </c>
      <c r="G42" s="227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8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9"/>
      <c r="M42" s="229"/>
      <c r="N42" s="229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30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25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5" t="n">
        <f aca="false">IF(D43="",0,VLOOKUP(D43,D$22:D42,1,0))</f>
        <v>0</v>
      </c>
      <c r="F43" s="232" t="n">
        <f aca="false">($B43*$B$7+$C43*$C$7)/100</f>
        <v>0</v>
      </c>
      <c r="G43" s="227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8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9"/>
      <c r="M43" s="229"/>
      <c r="N43" s="229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30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25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5" t="n">
        <f aca="false">IF(D44="",0,VLOOKUP(D44,D$22:D43,1,0))</f>
        <v>0</v>
      </c>
      <c r="F44" s="232" t="n">
        <f aca="false">($B44*$B$7+$C44*$C$7)/100</f>
        <v>0</v>
      </c>
      <c r="G44" s="227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8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9"/>
      <c r="M44" s="229"/>
      <c r="N44" s="229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30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25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5" t="n">
        <f aca="false">IF(D45="",0,VLOOKUP(D45,D$22:D44,1,0))</f>
        <v>0</v>
      </c>
      <c r="F45" s="232" t="n">
        <f aca="false">($B45*$B$7+$C45*$C$7)/100</f>
        <v>0</v>
      </c>
      <c r="G45" s="227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8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9"/>
      <c r="M45" s="229"/>
      <c r="N45" s="229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30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25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5" t="n">
        <f aca="false">IF(D46="",0,VLOOKUP(D46,D$22:D39,1,0))</f>
        <v>0</v>
      </c>
      <c r="F46" s="232" t="n">
        <f aca="false">($B46*$B$7+$C46*$C$7)/100</f>
        <v>0</v>
      </c>
      <c r="G46" s="227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8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9"/>
      <c r="M46" s="229"/>
      <c r="N46" s="229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30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25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5" t="n">
        <f aca="false">IF(D47="",0,VLOOKUP(D47,D$22:D39,1,0))</f>
        <v>0</v>
      </c>
      <c r="F47" s="232" t="n">
        <f aca="false">($B47*$B$7+$C47*$C$7)/100</f>
        <v>0</v>
      </c>
      <c r="G47" s="227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8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9"/>
      <c r="M47" s="229"/>
      <c r="N47" s="229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30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25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5" t="n">
        <f aca="false">IF(D48="",0,VLOOKUP(D48,D$22:D40,1,0))</f>
        <v>0</v>
      </c>
      <c r="F48" s="232" t="n">
        <f aca="false">($B48*$B$7+$C48*$C$7)/100</f>
        <v>0</v>
      </c>
      <c r="G48" s="227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8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9"/>
      <c r="M48" s="229"/>
      <c r="N48" s="229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30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25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5" t="n">
        <f aca="false">IF(D49="",0,VLOOKUP(D49,D$22:D48,1,0))</f>
        <v>0</v>
      </c>
      <c r="F49" s="232" t="n">
        <f aca="false">($B49*$B$7+$C49*$C$7)/100</f>
        <v>0</v>
      </c>
      <c r="G49" s="227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8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9"/>
      <c r="M49" s="229"/>
      <c r="N49" s="229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30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25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5" t="n">
        <f aca="false">IF(D50="",0,VLOOKUP(D50,D$22:D49,1,0))</f>
        <v>0</v>
      </c>
      <c r="F50" s="232" t="n">
        <f aca="false">($B50*$B$7+$C50*$C$7)/100</f>
        <v>0</v>
      </c>
      <c r="G50" s="227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8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9"/>
      <c r="M50" s="229"/>
      <c r="N50" s="229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30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25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5" t="n">
        <f aca="false">IF(D51="",0,VLOOKUP(D51,D$22:D50,1,0))</f>
        <v>0</v>
      </c>
      <c r="F51" s="232" t="n">
        <f aca="false">($B51*$B$7+$C51*$C$7)/100</f>
        <v>0</v>
      </c>
      <c r="G51" s="227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8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9"/>
      <c r="M51" s="229"/>
      <c r="N51" s="229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30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25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5" t="n">
        <f aca="false">IF(D52="",0,VLOOKUP(D52,D$22:D51,1,0))</f>
        <v>0</v>
      </c>
      <c r="F52" s="232" t="n">
        <f aca="false">($B52*$B$7+$C52*$C$7)/100</f>
        <v>0</v>
      </c>
      <c r="G52" s="227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8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9"/>
      <c r="M52" s="229"/>
      <c r="N52" s="229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30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25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5" t="n">
        <f aca="false">IF(D53="",0,VLOOKUP(D53,D$22:D52,1,0))</f>
        <v>0</v>
      </c>
      <c r="F53" s="232" t="n">
        <f aca="false">($B53*$B$7+$C53*$C$7)/100</f>
        <v>0</v>
      </c>
      <c r="G53" s="227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8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9"/>
      <c r="M53" s="229"/>
      <c r="N53" s="229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30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25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5" t="n">
        <f aca="false">IF(D54="",0,VLOOKUP(D54,D$22:D53,1,0))</f>
        <v>0</v>
      </c>
      <c r="F54" s="232" t="n">
        <f aca="false">($B54*$B$7+$C54*$C$7)/100</f>
        <v>0</v>
      </c>
      <c r="G54" s="227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8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9"/>
      <c r="M54" s="229"/>
      <c r="N54" s="229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30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25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5" t="n">
        <f aca="false">IF(D55="",0,VLOOKUP(D55,D$22:D54,1,0))</f>
        <v>0</v>
      </c>
      <c r="F55" s="232" t="n">
        <f aca="false">($B55*$B$7+$C55*$C$7)/100</f>
        <v>0</v>
      </c>
      <c r="G55" s="227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8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9"/>
      <c r="M55" s="229"/>
      <c r="N55" s="229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30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25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5" t="n">
        <f aca="false">IF(D56="",0,VLOOKUP(D56,D$22:D55,1,0))</f>
        <v>0</v>
      </c>
      <c r="F56" s="232" t="n">
        <f aca="false">($B56*$B$7+$C56*$C$7)/100</f>
        <v>0</v>
      </c>
      <c r="G56" s="227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8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9"/>
      <c r="M56" s="229"/>
      <c r="N56" s="229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30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25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5" t="n">
        <f aca="false">IF(D57="",0,VLOOKUP(D57,D$21:D56,1,0))</f>
        <v>0</v>
      </c>
      <c r="F57" s="232" t="n">
        <f aca="false">($B57*$B$7+$C57*$C$7)/100</f>
        <v>0</v>
      </c>
      <c r="G57" s="227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8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9"/>
      <c r="M57" s="229"/>
      <c r="N57" s="229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30" t="n">
        <f aca="false">IF(ISERROR(R57*J57),0,R57*J57)</f>
        <v>0</v>
      </c>
      <c r="V57" s="217" t="n">
        <v>0</v>
      </c>
      <c r="W57" s="218"/>
      <c r="X57" s="233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25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5" t="n">
        <f aca="false">IF(D58="",0,VLOOKUP(D58,D$22:D57,1,0))</f>
        <v>0</v>
      </c>
      <c r="F58" s="232" t="n">
        <f aca="false">($B58*$B$7+$C58*$C$7)/100</f>
        <v>0</v>
      </c>
      <c r="G58" s="227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8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9"/>
      <c r="M58" s="229"/>
      <c r="N58" s="229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30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25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5" t="n">
        <f aca="false">IF(D59="",0,VLOOKUP(D59,D$22:D58,1,0))</f>
        <v>0</v>
      </c>
      <c r="F59" s="232" t="n">
        <f aca="false">($B59*$B$7+$C59*$C$7)/100</f>
        <v>0</v>
      </c>
      <c r="G59" s="227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8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4"/>
      <c r="M59" s="234"/>
      <c r="N59" s="234"/>
      <c r="O59" s="214" t="str">
        <f aca="false">IF(AA59="Cf.","Cf.","")</f>
        <v/>
      </c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30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25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5" t="n">
        <f aca="false">IF(D60="",0,VLOOKUP(D60,D$22:D59,1,0))</f>
        <v>0</v>
      </c>
      <c r="F60" s="232" t="n">
        <f aca="false">($B60*$B$7+$C60*$C$7)/100</f>
        <v>0</v>
      </c>
      <c r="G60" s="227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8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4"/>
      <c r="M60" s="234"/>
      <c r="N60" s="234"/>
      <c r="O60" s="214" t="str">
        <f aca="false">IF(AA60="Cf.","Cf.","")</f>
        <v/>
      </c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30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25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5" t="n">
        <f aca="false">IF(D61="",0,VLOOKUP(D61,D$22:D60,1,0))</f>
        <v>0</v>
      </c>
      <c r="F61" s="232" t="n">
        <f aca="false">($B61*$B$7+$C61*$C$7)/100</f>
        <v>0</v>
      </c>
      <c r="G61" s="227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8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9"/>
      <c r="M61" s="229"/>
      <c r="N61" s="229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30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25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5" t="n">
        <f aca="false">IF(D62="",0,VLOOKUP(D62,D$22:D61,1,0))</f>
        <v>0</v>
      </c>
      <c r="F62" s="232" t="n">
        <f aca="false">($B62*$B$7+$C62*$C$7)/100</f>
        <v>0</v>
      </c>
      <c r="G62" s="227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8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9"/>
      <c r="M62" s="229"/>
      <c r="N62" s="229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30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22"/>
      <c r="B63" s="223"/>
      <c r="C63" s="224"/>
      <c r="D63" s="225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5" t="n">
        <f aca="false">IF(D63="",0,VLOOKUP(D63,D$22:D62,1,0))</f>
        <v>0</v>
      </c>
      <c r="F63" s="232" t="n">
        <f aca="false">($B63*$B$7+$C63*$C$7)/100</f>
        <v>0</v>
      </c>
      <c r="G63" s="227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8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9"/>
      <c r="M63" s="229"/>
      <c r="N63" s="229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30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25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5" t="n">
        <f aca="false">IF(D64="",0,VLOOKUP(D64,D$22:D52,1,0))</f>
        <v>0</v>
      </c>
      <c r="F64" s="232" t="n">
        <f aca="false">($B64*$B$7+$C64*$C$7)/100</f>
        <v>0</v>
      </c>
      <c r="G64" s="227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8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9"/>
      <c r="M64" s="229"/>
      <c r="N64" s="229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30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25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5" t="n">
        <f aca="false">IF(D65="",0,VLOOKUP(D65,D$22:D53,1,0))</f>
        <v>0</v>
      </c>
      <c r="F65" s="232" t="n">
        <f aca="false">($B65*$B$7+$C65*$C$7)/100</f>
        <v>0</v>
      </c>
      <c r="G65" s="227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8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9"/>
      <c r="M65" s="229"/>
      <c r="N65" s="229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30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25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5" t="n">
        <f aca="false">IF(D66="",0,VLOOKUP(D66,D$22:D51,1,0))</f>
        <v>0</v>
      </c>
      <c r="F66" s="232" t="n">
        <f aca="false">($B66*$B$7+$C66*$C$7)/100</f>
        <v>0</v>
      </c>
      <c r="G66" s="227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8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9"/>
      <c r="M66" s="229"/>
      <c r="N66" s="229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30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25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5" t="n">
        <f aca="false">IF(D67="",0,VLOOKUP(D67,D$22:D52,1,0))</f>
        <v>0</v>
      </c>
      <c r="F67" s="232" t="n">
        <f aca="false">($B67*$B$7+$C67*$C$7)/100</f>
        <v>0</v>
      </c>
      <c r="G67" s="227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8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9"/>
      <c r="M67" s="229"/>
      <c r="N67" s="229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30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25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5" t="n">
        <f aca="false">IF(D68="",0,VLOOKUP(D68,D$22:D53,1,0))</f>
        <v>0</v>
      </c>
      <c r="F68" s="232" t="n">
        <f aca="false">($B68*$B$7+$C68*$C$7)/100</f>
        <v>0</v>
      </c>
      <c r="G68" s="227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8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9"/>
      <c r="M68" s="229"/>
      <c r="N68" s="229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30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25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5" t="n">
        <f aca="false">IF(D69="",0,VLOOKUP(D69,D$22:D54,1,0))</f>
        <v>0</v>
      </c>
      <c r="F69" s="232" t="n">
        <f aca="false">($B69*$B$7+$C69*$C$7)/100</f>
        <v>0</v>
      </c>
      <c r="G69" s="227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8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9"/>
      <c r="M69" s="229"/>
      <c r="N69" s="229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30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25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5" t="n">
        <f aca="false">IF(D70="",0,VLOOKUP(D70,D$22:D55,1,0))</f>
        <v>0</v>
      </c>
      <c r="F70" s="232" t="n">
        <f aca="false">($B70*$B$7+$C70*$C$7)/100</f>
        <v>0</v>
      </c>
      <c r="G70" s="227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8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9"/>
      <c r="M70" s="229"/>
      <c r="N70" s="229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30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25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5" t="n">
        <f aca="false">IF(D71="",0,VLOOKUP(D71,D$22:D56,1,0))</f>
        <v>0</v>
      </c>
      <c r="F71" s="232" t="n">
        <f aca="false">($B71*$B$7+$C71*$C$7)/100</f>
        <v>0</v>
      </c>
      <c r="G71" s="227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8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9"/>
      <c r="M71" s="229"/>
      <c r="N71" s="229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30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25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5" t="n">
        <f aca="false">IF(D72="",0,VLOOKUP(D72,D$22:D57,1,0))</f>
        <v>0</v>
      </c>
      <c r="F72" s="232" t="n">
        <f aca="false">($B72*$B$7+$C72*$C$7)/100</f>
        <v>0</v>
      </c>
      <c r="G72" s="227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8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9"/>
      <c r="M72" s="229"/>
      <c r="N72" s="229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30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25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5" t="n">
        <f aca="false">IF(D73="",0,VLOOKUP(D73,D$22:D57,1,0))</f>
        <v>0</v>
      </c>
      <c r="F73" s="232" t="n">
        <f aca="false">($B73*$B$7+$C73*$C$7)/100</f>
        <v>0</v>
      </c>
      <c r="G73" s="227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8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9"/>
      <c r="M73" s="229"/>
      <c r="N73" s="229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30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25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5" t="n">
        <f aca="false">IF(D74="",0,VLOOKUP(D74,D$22:D58,1,0))</f>
        <v>0</v>
      </c>
      <c r="F74" s="232" t="n">
        <f aca="false">($B74*$B$7+$C74*$C$7)/100</f>
        <v>0</v>
      </c>
      <c r="G74" s="227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8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9"/>
      <c r="M74" s="229"/>
      <c r="N74" s="229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30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25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5" t="n">
        <f aca="false">IF(D75="",0,VLOOKUP(D75,D$22:D59,1,0))</f>
        <v>0</v>
      </c>
      <c r="F75" s="232" t="n">
        <f aca="false">($B75*$B$7+$C75*$C$7)/100</f>
        <v>0</v>
      </c>
      <c r="G75" s="227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8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9"/>
      <c r="M75" s="229"/>
      <c r="N75" s="229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30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25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5" t="n">
        <f aca="false">IF(D76="",0,VLOOKUP(D76,D$22:D59,1,0))</f>
        <v>0</v>
      </c>
      <c r="F76" s="232" t="n">
        <f aca="false">($B76*$B$7+$C76*$C$7)/100</f>
        <v>0</v>
      </c>
      <c r="G76" s="227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8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9"/>
      <c r="M76" s="229"/>
      <c r="N76" s="229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30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25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5" t="n">
        <f aca="false">IF(D77="",0,VLOOKUP(D77,D$22:D75,1,0))</f>
        <v>0</v>
      </c>
      <c r="F77" s="232" t="n">
        <f aca="false">($B77*$B$7+$C77*$C$7)/100</f>
        <v>0</v>
      </c>
      <c r="G77" s="227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8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9"/>
      <c r="M77" s="229"/>
      <c r="N77" s="229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30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25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5" t="n">
        <f aca="false">IF(D78="",0,VLOOKUP(D78,D$22:D75,1,0))</f>
        <v>0</v>
      </c>
      <c r="F78" s="232" t="n">
        <f aca="false">($B78*$B$7+$C78*$C$7)/100</f>
        <v>0</v>
      </c>
      <c r="G78" s="227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8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9"/>
      <c r="M78" s="229"/>
      <c r="N78" s="229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30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25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5" t="n">
        <f aca="false">IF(D79="",0,VLOOKUP(D79,D$22:D75,1,0))</f>
        <v>0</v>
      </c>
      <c r="F79" s="232" t="n">
        <f aca="false">($B79*$B$7+$C79*$C$7)/100</f>
        <v>0</v>
      </c>
      <c r="G79" s="227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8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9"/>
      <c r="M79" s="229"/>
      <c r="N79" s="229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30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25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5" t="n">
        <f aca="false">IF(D80="",0,VLOOKUP(D80,D$22:D79,1,0))</f>
        <v>0</v>
      </c>
      <c r="F80" s="232" t="n">
        <f aca="false">($B80*$B$7+$C80*$C$7)/100</f>
        <v>0</v>
      </c>
      <c r="G80" s="227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8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9"/>
      <c r="M80" s="229"/>
      <c r="N80" s="229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30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25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5" t="n">
        <f aca="false">IF(D81="",0,VLOOKUP(D81,D$21:D80,1,0))</f>
        <v>0</v>
      </c>
      <c r="F81" s="232" t="n">
        <f aca="false">($B81*$B$7+$C81*$C$7)/100</f>
        <v>0</v>
      </c>
      <c r="G81" s="227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8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4"/>
      <c r="M81" s="234"/>
      <c r="N81" s="234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30" t="n">
        <f aca="false">IF(ISERROR(R81*J81),0,R81*J81)</f>
        <v>0</v>
      </c>
      <c r="V81" s="217" t="n">
        <v>0</v>
      </c>
      <c r="W81" s="218"/>
      <c r="X81" s="236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3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3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4"/>
      <c r="M82" s="244"/>
      <c r="N82" s="244"/>
      <c r="O82" s="214" t="str">
        <f aca="false">IF(AA82="Cf.","Cf.","")</f>
        <v/>
      </c>
      <c r="P82" s="245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30" t="n">
        <f aca="false">IF(ISERROR(R82*J82),0,R82*J82)</f>
        <v>0</v>
      </c>
      <c r="V82" s="217" t="n">
        <v>0</v>
      </c>
      <c r="W82" s="246"/>
      <c r="X82" s="247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48" t="s">
        <v>89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49"/>
      <c r="P83" s="249"/>
      <c r="Q83" s="249"/>
      <c r="R83" s="249"/>
      <c r="S83" s="249"/>
      <c r="T83" s="10"/>
      <c r="U83" s="10"/>
      <c r="V83" s="249"/>
      <c r="W83" s="249"/>
      <c r="X83" s="249"/>
      <c r="Y83" s="250"/>
      <c r="Z83" s="250"/>
      <c r="AA83" s="250"/>
      <c r="AB83" s="251"/>
      <c r="AC83" s="251"/>
      <c r="AD83" s="251"/>
    </row>
    <row r="84" customFormat="false" ht="12.75" hidden="true" customHeight="false" outlineLevel="0" collapsed="false">
      <c r="A84" s="252" t="str">
        <f aca="false">A3</f>
        <v>Toison</v>
      </c>
      <c r="B84" s="253" t="str">
        <f aca="false">C3</f>
        <v>Toison a Villieu Loyes Mollon </v>
      </c>
      <c r="C84" s="254" t="n">
        <f aca="false">A4</f>
        <v>41087</v>
      </c>
      <c r="D84" s="255" t="n">
        <f aca="false">IF(ISERROR(SUM($T$23:$T$82)/SUM($U$23:$U$82)),"",SUM($T$23:$T$82)/SUM($U$23:$U$82))</f>
        <v>11.7307692307692</v>
      </c>
      <c r="E84" s="256" t="n">
        <f aca="false">N13</f>
        <v>11</v>
      </c>
      <c r="F84" s="253" t="n">
        <f aca="false">N14</f>
        <v>11</v>
      </c>
      <c r="G84" s="253" t="n">
        <f aca="false">N15</f>
        <v>6</v>
      </c>
      <c r="H84" s="253" t="n">
        <f aca="false">N16</f>
        <v>5</v>
      </c>
      <c r="I84" s="253" t="n">
        <f aca="false">N17</f>
        <v>0</v>
      </c>
      <c r="J84" s="257" t="n">
        <f aca="false">N8</f>
        <v>10.3636363636364</v>
      </c>
      <c r="K84" s="255" t="n">
        <f aca="false">N9</f>
        <v>3.88001874409718</v>
      </c>
      <c r="L84" s="256" t="n">
        <f aca="false">N10</f>
        <v>4</v>
      </c>
      <c r="M84" s="256" t="n">
        <f aca="false">N11</f>
        <v>15</v>
      </c>
      <c r="N84" s="255" t="n">
        <f aca="false">O8</f>
        <v>1.45454545454545</v>
      </c>
      <c r="O84" s="255" t="n">
        <f aca="false">O9</f>
        <v>0.522232967867094</v>
      </c>
      <c r="P84" s="256" t="n">
        <f aca="false">O10</f>
        <v>1</v>
      </c>
      <c r="Q84" s="256" t="n">
        <f aca="false">O11</f>
        <v>2</v>
      </c>
      <c r="R84" s="256" t="n">
        <f aca="false">F21</f>
        <v>3.7785</v>
      </c>
      <c r="S84" s="256" t="n">
        <f aca="false">K11</f>
        <v>0</v>
      </c>
      <c r="T84" s="256" t="n">
        <f aca="false">K12</f>
        <v>4</v>
      </c>
      <c r="U84" s="256" t="n">
        <f aca="false">K13</f>
        <v>5</v>
      </c>
      <c r="V84" s="258" t="n">
        <f aca="false">K14</f>
        <v>0</v>
      </c>
      <c r="W84" s="259" t="n">
        <f aca="false">K15</f>
        <v>2</v>
      </c>
      <c r="Z84" s="260"/>
      <c r="AA84" s="260"/>
      <c r="AB84" s="251"/>
      <c r="AC84" s="251"/>
      <c r="AD84" s="25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1" t="s">
        <v>90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91</v>
      </c>
      <c r="R87" s="10"/>
      <c r="S87" s="217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92</v>
      </c>
      <c r="R88" s="10"/>
      <c r="S88" s="217" t="n">
        <f aca="false">VLOOKUP((S87),($S$23:$U$82),2,0)</f>
        <v>90</v>
      </c>
      <c r="T88" s="10"/>
      <c r="U88" s="10"/>
      <c r="V88" s="10"/>
    </row>
    <row r="89" customFormat="false" ht="12.75" hidden="false" customHeight="false" outlineLevel="0" collapsed="false">
      <c r="Q89" s="10" t="s">
        <v>93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94</v>
      </c>
      <c r="R90" s="10"/>
      <c r="S90" s="262" t="n">
        <f aca="false">IF(ISERROR(SUM($T$23:$T$82)/SUM($U$23:$U$82)),"",(SUM($T$23:$T$82)-S88)/(SUM($U$23:$U$82)-S89))</f>
        <v>10.75</v>
      </c>
      <c r="T90" s="10"/>
    </row>
    <row r="91" customFormat="false" ht="12.75" hidden="false" customHeight="false" outlineLevel="0" collapsed="false">
      <c r="Q91" s="216" t="s">
        <v>95</v>
      </c>
      <c r="R91" s="216"/>
      <c r="S91" s="216" t="str">
        <f aca="false">INDEX('[1]liste reference'!$A$7:$A$892,$T$91)</f>
        <v>HILSPX</v>
      </c>
      <c r="T91" s="10" t="n">
        <f aca="false">IF(ISERROR(MATCH($S$93,'[1]liste reference'!$A$7:$A$892,0)),MATCH($S$93,'[1]liste reference'!$B$7:$B$892,0),(MATCH($S$93,'[1]liste reference'!$A$7:$A$892,0)))</f>
        <v>333</v>
      </c>
      <c r="U91" s="251"/>
    </row>
    <row r="92" customFormat="false" ht="12.75" hidden="false" customHeight="false" outlineLevel="0" collapsed="false">
      <c r="Q92" s="10" t="s">
        <v>96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97</v>
      </c>
      <c r="R93" s="10"/>
      <c r="S93" s="216" t="str">
        <f aca="false">INDEX($A$23:$A$82,$S$92)</f>
        <v>HILSPX</v>
      </c>
      <c r="T93" s="10"/>
    </row>
    <row r="94" customFormat="false" ht="12.75" hidden="false" customHeight="false" outlineLevel="0" collapsed="false">
      <c r="S94" s="25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2012-12-17T17:30:29Z</dcterms:created>
  <dc:creator>Cyril Bernard</dc:creator>
  <dc:description/>
  <dc:language>fr-FR</dc:language>
  <cp:lastModifiedBy>IMBERT Loïc</cp:lastModifiedBy>
  <dcterms:modified xsi:type="dcterms:W3CDTF">2013-10-03T13:56:53Z</dcterms:modified>
  <cp:revision>0</cp:revision>
  <dc:subject/>
  <dc:title/>
</cp:coreProperties>
</file>