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<sst xmlns="http://schemas.openxmlformats.org/spreadsheetml/2006/main" count="98" uniqueCount="94">
  <si>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</si>
  <si>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</si>
  <si>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</si>
  <si>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BOURGOIN C. BERNARD</t>
  </si>
  <si>
    <t xml:space="preserve">conforme AFNOR T90-395 oct. 2003</t>
  </si>
  <si>
    <t xml:space="preserve">Rhone</t>
  </si>
  <si>
    <t xml:space="preserve">Rhone a Vernaison</t>
  </si>
  <si>
    <t xml:space="preserve">06093900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</si>
  <si>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</si>
  <si>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</si>
  <si>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</si>
  <si>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</si>
  <si>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</si>
  <si>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</si>
  <si>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</si>
  <si>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</si>
  <si>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</si>
  <si>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ch. lotique</t>
  </si>
  <si>
    <t xml:space="preserve">pl. lent</t>
  </si>
  <si>
    <t xml:space="preserve">niv. trophique:</t>
  </si>
  <si>
    <t xml:space="preserve">fort</t>
  </si>
  <si>
    <t xml:space="preserve">(fort)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</si>
  <si>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</si>
  <si>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</si>
  <si>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</si>
  <si>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</si>
  <si>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</si>
  <si>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</si>
  <si>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</si>
  <si>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</si>
  <si>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</si>
  <si>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</si>
  <si>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</si>
  <si>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</si>
  <si>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</si>
  <si>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</si>
  <si>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</si>
  <si>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</si>
  <si>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</si>
  <si>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</si>
  <si>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</si>
  <si>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</si>
  <si>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</si>
  <si>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</si>
  <si>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</si>
  <si>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</si>
  <si>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</si>
  <si>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</si>
  <si>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</si>
  <si>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</si>
  <si>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</si>
  <si>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</si>
  <si>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</si>
  <si>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</si>
  <si>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</si>
  <si>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ATTENTION : écart entre rec. par grp (100 %) et</t>
  </si>
  <si>
    <t xml:space="preserve">rec. pondéré</t>
  </si>
  <si>
    <t xml:space="preserve">voir aussi colonne BB</t>
  </si>
  <si>
    <t xml:space="preserve"> rec. par taxa (4,6655380794702 %)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</si>
  <si>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</si>
  <si>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</si>
  <si>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</si>
  <si>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</si>
  <si>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</si>
  <si>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</si>
  <si>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</si>
  <si>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</si>
  <si>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</si>
  <si>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</si>
  <si>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</si>
  <si>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</si>
  <si>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</si>
  <si>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</si>
  <si>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</si>
  <si>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</si>
  <si>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</si>
  <si>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</si>
  <si>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</si>
  <si>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MYRSPI</t>
  </si>
  <si>
    <t xml:space="preserve">RANFLU</t>
  </si>
  <si>
    <t xml:space="preserve">AGRSTO</t>
  </si>
  <si>
    <t xml:space="preserve">POLLAP</t>
  </si>
  <si>
    <t xml:space="preserve">newcod</t>
  </si>
  <si>
    <t xml:space="preserve">Salix purpurea</t>
  </si>
  <si>
    <t xml:space="preserve">Carex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</si>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</sst>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1831680</xdr:colOff>
      <xdr:row>2</xdr:row>
      <xdr:rowOff>109440</xdr:rowOff>
    </xdr:to>
    <xdr:grpSp>
      <xdr:nvGrpSpPr>
        <xdr:cNvPr id="1" name="Group 32"/>
        <xdr:cNvGrpSpPr/>
      </xdr:nvGrpSpPr>
      <xdr:grpSpPr>
        <a:xfrm>
          <a:off x="10038960" y="38160"/>
          <a:ext cx="1750680" cy="433080"/>
          <a:chOff x="10038960" y="38160"/>
          <a:chExt cx="175068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1831680</xdr:colOff>
      <xdr:row>8</xdr:row>
      <xdr:rowOff>71280</xdr:rowOff>
    </xdr:to>
    <xdr:grpSp>
      <xdr:nvGrpSpPr>
        <xdr:cNvPr id="2" name="Group 38"/>
        <xdr:cNvGrpSpPr/>
      </xdr:nvGrpSpPr>
      <xdr:grpSpPr>
        <a:xfrm>
          <a:off x="10038960" y="533520"/>
          <a:ext cx="1750680" cy="918720"/>
          <a:chOff x="10038960" y="533520"/>
          <a:chExt cx="175068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RHOVE_18-09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41170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9.27272727272727</v>
      </c>
      <c r="M5" s="53"/>
      <c r="N5" s="54"/>
      <c r="O5" s="55" t="n">
        <v>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97</v>
      </c>
      <c r="C7" s="67" t="n">
        <v>3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9.33333333333333</v>
      </c>
      <c r="O8" s="83" t="n">
        <f aca="false">AVERAGE(J23:J82)</f>
        <v>1.66666666666667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1.87</v>
      </c>
      <c r="C9" s="86" t="n">
        <v>95</v>
      </c>
      <c r="D9" s="87"/>
      <c r="E9" s="87"/>
      <c r="F9" s="88" t="n">
        <f aca="false">($B9*$B$7+$C9*$C$7)/100</f>
        <v>4.6639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1.15470053837925</v>
      </c>
      <c r="O9" s="83" t="n">
        <f aca="false">STDEV(J23:J82)</f>
        <v>0.577350269189626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8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10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/>
      <c r="C12" s="118"/>
      <c r="D12" s="110"/>
      <c r="E12" s="110"/>
      <c r="F12" s="111" t="n">
        <f aca="false">($B12*$B$7+$C12*$C$7)/100</f>
        <v>0</v>
      </c>
      <c r="G12" s="119"/>
      <c r="H12" s="68"/>
      <c r="I12" s="120" t="s">
        <v>37</v>
      </c>
      <c r="J12" s="120"/>
      <c r="K12" s="114" t="n">
        <f aca="false">COUNTIF($G$23:$G$82,"=ALG")</f>
        <v>0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0</v>
      </c>
      <c r="L13" s="115"/>
      <c r="M13" s="126" t="s">
        <v>40</v>
      </c>
      <c r="N13" s="127" t="n">
        <f aca="false">COUNTIF(F23:F82,"&gt;0")</f>
        <v>6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3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 t="n">
        <v>1.87</v>
      </c>
      <c r="C15" s="135" t="n">
        <v>95</v>
      </c>
      <c r="D15" s="110"/>
      <c r="E15" s="110"/>
      <c r="F15" s="111" t="n">
        <f aca="false">($B15*$B$7+$C15*$C$7)/100</f>
        <v>4.6639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4</v>
      </c>
      <c r="L15" s="115"/>
      <c r="M15" s="136" t="s">
        <v>46</v>
      </c>
      <c r="N15" s="137" t="n">
        <f aca="false">COUNTIF(J23:J82,"=1")</f>
        <v>1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2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0.88</v>
      </c>
      <c r="C17" s="118"/>
      <c r="D17" s="110"/>
      <c r="E17" s="110"/>
      <c r="F17" s="142"/>
      <c r="G17" s="111" t="n">
        <f aca="false">($B17*$B$7+$C17*$C$7)/100</f>
        <v>0.8536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 t="n">
        <v>0.99</v>
      </c>
      <c r="C18" s="145" t="n">
        <v>95</v>
      </c>
      <c r="D18" s="110"/>
      <c r="E18" s="146" t="s">
        <v>52</v>
      </c>
      <c r="F18" s="142"/>
      <c r="G18" s="111" t="n">
        <f aca="false">($B18*$B$7+$C18*$C$7)/100</f>
        <v>3.8103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4.6639</v>
      </c>
      <c r="G19" s="155" t="n">
        <f aca="false">SUM(G16:G18)</f>
        <v>4.6639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1.87168874172185</v>
      </c>
      <c r="C20" s="165" t="n">
        <f aca="false">SUM(C23:C82)</f>
        <v>95</v>
      </c>
      <c r="D20" s="166"/>
      <c r="E20" s="167" t="s">
        <v>52</v>
      </c>
      <c r="F20" s="168" t="n">
        <f aca="false">($B20*$B$7+$C20*$C$7)/100</f>
        <v>4.6655380794702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 t="s">
        <v>55</v>
      </c>
      <c r="W20" s="149"/>
    </row>
    <row r="21" customFormat="false" ht="12.75" hidden="false" customHeight="false" outlineLevel="0" collapsed="false">
      <c r="A21" s="177" t="s">
        <v>56</v>
      </c>
      <c r="B21" s="178" t="n">
        <f aca="false">B20*B7/100</f>
        <v>1.8155380794702</v>
      </c>
      <c r="C21" s="178" t="n">
        <f aca="false">C20*C7/100</f>
        <v>2.85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4.6655380794702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57</v>
      </c>
      <c r="R21" s="10"/>
      <c r="S21" s="10"/>
      <c r="T21" s="10"/>
      <c r="U21" s="10"/>
      <c r="V21" s="10" t="s">
        <v>58</v>
      </c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0.492549668874172</v>
      </c>
      <c r="C23" s="205" t="n">
        <v>0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Myriophyllum spicatum</v>
      </c>
      <c r="E23" s="206" t="e">
        <f aca="false">IF(D23="",0,VLOOKUP(D23,D$22:D22,1,0))</f>
        <v>#N/A</v>
      </c>
      <c r="F23" s="207" t="n">
        <f aca="false">($B23*$B$7+$C23*$C$7)/100</f>
        <v>0.477773178807947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PHy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7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8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2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Myriophyllum spicatum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1778</v>
      </c>
      <c r="Q23" s="215" t="n">
        <f aca="false">IF(ISTEXT(H23),"",(B23*$B$7/100)+(C23*$C$7/100))</f>
        <v>0.477773178807947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16</v>
      </c>
      <c r="T23" s="216" t="n">
        <f aca="false">IF(ISERROR(R23*I23*J23),0,R23*I23*J23)</f>
        <v>32</v>
      </c>
      <c r="U23" s="216" t="n">
        <f aca="false">IF(ISERROR(R23*J23),0,R23*J23)</f>
        <v>4</v>
      </c>
      <c r="V23" s="217" t="n">
        <v>4</v>
      </c>
      <c r="W23" s="218"/>
      <c r="X23" s="218"/>
      <c r="Y23" s="219" t="str">
        <f aca="false">IF(A23="new.cod","NEWCOD",IF(AND((Z23=""),ISTEXT(A23)),A23,IF(Z23="","",INDEX('[1]liste reference'!$A$7:$A$892,Z23))))</f>
        <v>MYRSPI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495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0.394039735099338</v>
      </c>
      <c r="C24" s="224" t="n">
        <v>0</v>
      </c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Ranunculus fluitans</v>
      </c>
      <c r="E24" s="225" t="e">
        <f aca="false">IF(D24="",0,VLOOKUP(D24,D$22:D23,1,0))</f>
        <v>#N/A</v>
      </c>
      <c r="F24" s="226" t="n">
        <f aca="false">($B24*$B$7+$C24*$C$7)/100</f>
        <v>0.382218543046358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PHy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7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10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Ranunculus fluitans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193</v>
      </c>
      <c r="Q24" s="215" t="n">
        <f aca="false">IF(ISTEXT(H24),"",(B24*$B$7/100)+(C24*$C$7/100))</f>
        <v>0.382218543046358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20</v>
      </c>
      <c r="T24" s="216" t="n">
        <f aca="false">IF(ISERROR(R24*I24*J24),0,R24*I24*J24)</f>
        <v>40</v>
      </c>
      <c r="U24" s="230" t="n">
        <f aca="false">IF(ISERROR(R24*J24),0,R24*J24)</f>
        <v>4</v>
      </c>
      <c r="V24" s="217" t="n">
        <v>4</v>
      </c>
      <c r="W24" s="231"/>
      <c r="Y24" s="219" t="str">
        <f aca="false">IF(A24="new.cod","NEWCOD",IF(AND((Z24=""),ISTEXT(A24)),A24,IF(Z24="","",INDEX('[1]liste reference'!$A$7:$A$892,Z24))))</f>
        <v>RANFLU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673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0.985099337748344</v>
      </c>
      <c r="C25" s="224" t="n">
        <v>30</v>
      </c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Agrostis stolonifera</v>
      </c>
      <c r="E25" s="225" t="e">
        <f aca="false">IF(D25="",0,VLOOKUP(D25,D$22:D24,1,0))</f>
        <v>#N/A</v>
      </c>
      <c r="F25" s="226" t="n">
        <f aca="false">($B25*$B$7+$C25*$C$7)/100</f>
        <v>1.85554635761589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PHe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8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10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Agrostis stolonifera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1543</v>
      </c>
      <c r="Q25" s="215" t="n">
        <f aca="false">IF(ISTEXT(H25),"",(B25*$B$7/100)+(C25*$C$7/100))</f>
        <v>1.85554635761589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30</v>
      </c>
      <c r="T25" s="216" t="n">
        <f aca="false">IF(ISERROR(R25*I25*J25),0,R25*I25*J25)</f>
        <v>30</v>
      </c>
      <c r="U25" s="230" t="n">
        <f aca="false">IF(ISERROR(R25*J25),0,R25*J25)</f>
        <v>3</v>
      </c>
      <c r="V25" s="217" t="n">
        <v>3</v>
      </c>
      <c r="W25" s="218"/>
      <c r="Y25" s="219" t="str">
        <f aca="false">IF(A25="new.cod","NEWCOD",IF(AND((Z25=""),ISTEXT(A25)),A25,IF(Z25="","",INDEX('[1]liste reference'!$A$7:$A$892,Z25))))</f>
        <v>AGRSTO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8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</v>
      </c>
      <c r="C26" s="224" t="n">
        <v>5</v>
      </c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Polygonum lapathifolia</v>
      </c>
      <c r="E26" s="225" t="e">
        <f aca="false">IF(D26="",0,VLOOKUP(D26,D$22:D25,1,0))</f>
        <v>#N/A</v>
      </c>
      <c r="F26" s="226" t="n">
        <f aca="false">($B26*$B$7+$C26*$C$7)/100</f>
        <v>0.15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PHg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9</v>
      </c>
      <c r="I26" s="228" t="str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/>
      </c>
      <c r="J26" s="211" t="str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/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Polygonum lapathifolia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1866</v>
      </c>
      <c r="Q26" s="215" t="n">
        <f aca="false">IF(ISTEXT(H26),"",(B26*$B$7/100)+(C26*$C$7/100))</f>
        <v>0.15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30" t="n">
        <f aca="false">IF(ISERROR(R26*J26),0,R26*J26)</f>
        <v>0</v>
      </c>
      <c r="V26" s="217" t="n">
        <v>0</v>
      </c>
      <c r="W26" s="218"/>
      <c r="Y26" s="219" t="str">
        <f aca="false">IF(A26="new.cod","NEWCOD",IF(AND((Z26=""),ISTEXT(A26)),A26,IF(Z26="","",INDEX('[1]liste reference'!$A$7:$A$892,Z26))))</f>
        <v>POLLAP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601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</v>
      </c>
      <c r="C27" s="224" t="n">
        <v>50</v>
      </c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/>
      </c>
      <c r="E27" s="225" t="n">
        <f aca="false">IF(D27="",0,VLOOKUP(D27,D$22:D26,1,0))</f>
        <v>0</v>
      </c>
      <c r="F27" s="226" t="n">
        <f aca="false">($B27*$B$7+$C27*$C$7)/100</f>
        <v>1.5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    -</v>
      </c>
      <c r="H27" s="209" t="str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x</v>
      </c>
      <c r="I27" s="228" t="str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/>
      </c>
      <c r="J27" s="211" t="str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/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Salix purpurea</v>
      </c>
      <c r="L27" s="229"/>
      <c r="M27" s="229"/>
      <c r="N27" s="229"/>
      <c r="O27" s="214" t="str">
        <f aca="false">IF(AA27="Cf.","Cf.","")</f>
        <v/>
      </c>
      <c r="P27" s="214" t="str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No</v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30" t="n">
        <f aca="false">IF(ISERROR(R27*J27),0,R27*J27)</f>
        <v>0</v>
      </c>
      <c r="V27" s="217" t="n">
        <v>0</v>
      </c>
      <c r="W27" s="218"/>
      <c r="Y27" s="219" t="str">
        <f aca="false">IF(A27="new.cod","NEWCOD",IF(AND((Z27=""),ISTEXT(A27)),A27,IF(Z27="","",INDEX('[1]liste reference'!$A$7:$A$892,Z27))))</f>
        <v>newcod</v>
      </c>
      <c r="Z27" s="10" t="str">
        <f aca="false">IF(ISERROR(MATCH(A27,'[1]liste reference'!$A$7:$A$892,0)),IF(ISERROR(MATCH(A27,'[1]liste reference'!$B$7:$B$892,0)),"",(MATCH(A27,'[1]liste reference'!$B$7:$B$892,0))),(MATCH(A27,'[1]liste reference'!$A$7:$A$892,0)))</f>
        <v/>
      </c>
      <c r="AA27" s="220"/>
      <c r="AB27" s="221" t="s">
        <v>83</v>
      </c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</v>
      </c>
      <c r="C28" s="224" t="n">
        <v>10</v>
      </c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/>
      </c>
      <c r="E28" s="225" t="n">
        <f aca="false">IF(D28="",0,VLOOKUP(D28,D$22:D27,1,0))</f>
        <v>0</v>
      </c>
      <c r="F28" s="226" t="n">
        <f aca="false">($B28*$B$7+$C28*$C$7)/100</f>
        <v>0.3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    -</v>
      </c>
      <c r="H28" s="209" t="str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x</v>
      </c>
      <c r="I28" s="228" t="str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/>
      </c>
      <c r="J28" s="211" t="str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/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Carex sp.</v>
      </c>
      <c r="L28" s="229"/>
      <c r="M28" s="229"/>
      <c r="N28" s="229"/>
      <c r="O28" s="214" t="str">
        <f aca="false">IF(AA28="Cf.","Cf.","")</f>
        <v/>
      </c>
      <c r="P28" s="214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No</v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30" t="n">
        <f aca="false">IF(ISERROR(R28*J28),0,R28*J28)</f>
        <v>0</v>
      </c>
      <c r="V28" s="217" t="n">
        <v>0</v>
      </c>
      <c r="W28" s="218"/>
      <c r="Y28" s="219" t="str">
        <f aca="false">IF(A28="new.cod","NEWCOD",IF(AND((Z28=""),ISTEXT(A28)),A28,IF(Z28="","",INDEX('[1]liste reference'!$A$7:$A$892,Z28))))</f>
        <v>newcod</v>
      </c>
      <c r="Z28" s="10" t="str">
        <f aca="false">IF(ISERROR(MATCH(A28,'[1]liste reference'!$A$7:$A$892,0)),IF(ISERROR(MATCH(A28,'[1]liste reference'!$B$7:$B$892,0)),"",(MATCH(A28,'[1]liste reference'!$B$7:$B$892,0))),(MATCH(A28,'[1]liste reference'!$A$7:$A$892,0)))</f>
        <v/>
      </c>
      <c r="AA28" s="220"/>
      <c r="AB28" s="221" t="s">
        <v>84</v>
      </c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/>
      <c r="B29" s="223"/>
      <c r="C29" s="224"/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/>
      </c>
      <c r="H29" s="209" t="str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x</v>
      </c>
      <c r="I29" s="228" t="str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/>
      </c>
      <c r="J29" s="211" t="str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/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/>
      </c>
      <c r="L29" s="229"/>
      <c r="M29" s="229"/>
      <c r="N29" s="229"/>
      <c r="O29" s="214" t="str">
        <f aca="false">IF(AA29="Cf.","Cf.","")</f>
        <v/>
      </c>
      <c r="P29" s="214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30" t="n">
        <f aca="false">IF(ISERROR(R29*J29),0,R29*J29)</f>
        <v>0</v>
      </c>
      <c r="V29" s="217" t="n">
        <v>0</v>
      </c>
      <c r="W29" s="218"/>
      <c r="Y29" s="219" t="str">
        <f aca="false">IF(A29="new.cod","NEWCOD",IF(AND((Z29=""),ISTEXT(A29)),A29,IF(Z29="","",INDEX('[1]liste reference'!$A$7:$A$892,Z29))))</f>
        <v/>
      </c>
      <c r="Z29" s="10" t="str">
        <f aca="false">IF(ISERROR(MATCH(A29,'[1]liste reference'!$A$7:$A$892,0)),IF(ISERROR(MATCH(A29,'[1]liste reference'!$B$7:$B$892,0)),"",(MATCH(A29,'[1]liste reference'!$B$7:$B$892,0))),(MATCH(A29,'[1]liste reference'!$A$7:$A$892,0)))</f>
        <v/>
      </c>
      <c r="AA29" s="220"/>
      <c r="AB29" s="221"/>
      <c r="AC29" s="221"/>
      <c r="BC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/>
      </c>
      <c r="H30" s="209" t="str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x</v>
      </c>
      <c r="I30" s="228" t="str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/>
      </c>
      <c r="J30" s="211" t="str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/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/>
      </c>
      <c r="L30" s="229"/>
      <c r="M30" s="229"/>
      <c r="N30" s="229"/>
      <c r="O30" s="214" t="str">
        <f aca="false">IF(AA30="Cf.","Cf.","")</f>
        <v/>
      </c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30" t="n">
        <f aca="false">IF(ISERROR(R30*J30),0,R30*J30)</f>
        <v>0</v>
      </c>
      <c r="V30" s="217" t="n">
        <v>0</v>
      </c>
      <c r="W30" s="218"/>
      <c r="Y30" s="219" t="str">
        <f aca="false">IF(A30="new.cod","NEWCOD",IF(AND((Z30=""),ISTEXT(A30)),A30,IF(Z30="","",INDEX('[1]liste reference'!$A$7:$A$892,Z30))))</f>
        <v/>
      </c>
      <c r="Z30" s="10" t="str">
        <f aca="false">IF(ISERROR(MATCH(A30,'[1]liste reference'!$A$7:$A$892,0)),IF(ISERROR(MATCH(A30,'[1]liste reference'!$B$7:$B$892,0)),"",(MATCH(A30,'[1]liste reference'!$B$7:$B$892,0))),(MATCH(A30,'[1]liste reference'!$A$7:$A$892,0)))</f>
        <v/>
      </c>
      <c r="AA30" s="220"/>
      <c r="AB30" s="221"/>
      <c r="AC30" s="221"/>
      <c r="BC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/>
      </c>
      <c r="H31" s="209" t="str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x</v>
      </c>
      <c r="I31" s="228" t="str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/>
      </c>
      <c r="J31" s="211" t="str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/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/>
      </c>
      <c r="L31" s="229"/>
      <c r="M31" s="229"/>
      <c r="N31" s="229"/>
      <c r="O31" s="214" t="str">
        <f aca="false">IF(AA31="Cf.","Cf.","")</f>
        <v/>
      </c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30" t="n">
        <f aca="false">IF(ISERROR(R31*J31),0,R31*J31)</f>
        <v>0</v>
      </c>
      <c r="V31" s="217" t="n">
        <v>0</v>
      </c>
      <c r="W31" s="218"/>
      <c r="Y31" s="219" t="str">
        <f aca="false">IF(A31="new.cod","NEWCOD",IF(AND((Z31=""),ISTEXT(A31)),A31,IF(Z31="","",INDEX('[1]liste reference'!$A$7:$A$892,Z31))))</f>
        <v/>
      </c>
      <c r="Z31" s="10" t="str">
        <f aca="false">IF(ISERROR(MATCH(A31,'[1]liste reference'!$A$7:$A$892,0)),IF(ISERROR(MATCH(A31,'[1]liste reference'!$B$7:$B$892,0)),"",(MATCH(A31,'[1]liste reference'!$B$7:$B$892,0))),(MATCH(A31,'[1]liste reference'!$A$7:$A$892,0)))</f>
        <v/>
      </c>
      <c r="AA31" s="220"/>
      <c r="AB31" s="221"/>
      <c r="AC31" s="221"/>
      <c r="BC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/>
      </c>
      <c r="H32" s="209" t="str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x</v>
      </c>
      <c r="I32" s="228" t="str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/>
      </c>
      <c r="J32" s="211" t="str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/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/>
      </c>
      <c r="L32" s="229"/>
      <c r="M32" s="229"/>
      <c r="N32" s="229"/>
      <c r="O32" s="214" t="str">
        <f aca="false">IF(AA32="Cf.","Cf.","")</f>
        <v/>
      </c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30" t="n">
        <f aca="false">IF(ISERROR(R32*J32),0,R32*J32)</f>
        <v>0</v>
      </c>
      <c r="V32" s="217" t="n">
        <v>0</v>
      </c>
      <c r="W32" s="218"/>
      <c r="Y32" s="219" t="str">
        <f aca="false">IF(A32="new.cod","NEWCOD",IF(AND((Z32=""),ISTEXT(A32)),A32,IF(Z32="","",INDEX('[1]liste reference'!$A$7:$A$892,Z32))))</f>
        <v/>
      </c>
      <c r="Z32" s="10" t="str">
        <f aca="false">IF(ISERROR(MATCH(A32,'[1]liste reference'!$A$7:$A$892,0)),IF(ISERROR(MATCH(A32,'[1]liste reference'!$B$7:$B$892,0)),"",(MATCH(A32,'[1]liste reference'!$B$7:$B$892,0))),(MATCH(A32,'[1]liste reference'!$A$7:$A$892,0)))</f>
        <v/>
      </c>
      <c r="AA32" s="220"/>
      <c r="AB32" s="221"/>
      <c r="AC32" s="221"/>
      <c r="BC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/>
      </c>
      <c r="H33" s="209" t="str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x</v>
      </c>
      <c r="I33" s="228" t="str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/>
      </c>
      <c r="J33" s="211" t="str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/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/>
      </c>
      <c r="L33" s="229"/>
      <c r="M33" s="229"/>
      <c r="N33" s="229"/>
      <c r="O33" s="214" t="str">
        <f aca="false">IF(AA33="Cf.","Cf.","")</f>
        <v/>
      </c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30" t="n">
        <f aca="false">IF(ISERROR(R33*J33),0,R33*J33)</f>
        <v>0</v>
      </c>
      <c r="V33" s="217" t="n">
        <v>0</v>
      </c>
      <c r="W33" s="218"/>
      <c r="Y33" s="219" t="str">
        <f aca="false">IF(A33="new.cod","NEWCOD",IF(AND((Z33=""),ISTEXT(A33)),A33,IF(Z33="","",INDEX('[1]liste reference'!$A$7:$A$892,Z33))))</f>
        <v/>
      </c>
      <c r="Z33" s="10" t="str">
        <f aca="false">IF(ISERROR(MATCH(A33,'[1]liste reference'!$A$7:$A$892,0)),IF(ISERROR(MATCH(A33,'[1]liste reference'!$B$7:$B$892,0)),"",(MATCH(A33,'[1]liste reference'!$B$7:$B$892,0))),(MATCH(A33,'[1]liste reference'!$A$7:$A$892,0)))</f>
        <v/>
      </c>
      <c r="AA33" s="220"/>
      <c r="AB33" s="221"/>
      <c r="AC33" s="221"/>
      <c r="BC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/>
      </c>
      <c r="E34" s="225" t="n">
        <f aca="false">IF(D34="",0,VLOOKUP(D34,D$22:D33,1,0))</f>
        <v>0</v>
      </c>
      <c r="F34" s="232" t="n">
        <f aca="false">($B34*$B$7+$C34*$C$7)/100</f>
        <v>0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/>
      </c>
      <c r="H34" s="209" t="str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x</v>
      </c>
      <c r="I34" s="228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/>
      </c>
      <c r="L34" s="229"/>
      <c r="M34" s="229"/>
      <c r="N34" s="229"/>
      <c r="O34" s="214" t="str">
        <f aca="false">IF(AA34="Cf.","Cf.","")</f>
        <v/>
      </c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30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/>
      </c>
      <c r="Z34" s="10" t="str">
        <f aca="false">IF(ISERROR(MATCH(A34,'[1]liste reference'!$A$7:$A$892,0)),IF(ISERROR(MATCH(A34,'[1]liste reference'!$B$7:$B$892,0)),"",(MATCH(A34,'[1]liste reference'!$B$7:$B$892,0))),(MATCH(A34,'[1]liste reference'!$A$7:$A$892,0)))</f>
        <v/>
      </c>
      <c r="AA34" s="220"/>
      <c r="AB34" s="221"/>
      <c r="AC34" s="221"/>
      <c r="BC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/>
      </c>
      <c r="E35" s="225" t="n">
        <f aca="false">IF(D35="",0,VLOOKUP(D35,D$22:D34,1,0))</f>
        <v>0</v>
      </c>
      <c r="F35" s="232" t="n">
        <f aca="false">($B35*$B$7+$C35*$C$7)/100</f>
        <v>0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/>
      </c>
      <c r="H35" s="209" t="str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x</v>
      </c>
      <c r="I35" s="228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/>
      </c>
      <c r="L35" s="229"/>
      <c r="M35" s="229"/>
      <c r="N35" s="229"/>
      <c r="O35" s="214" t="str">
        <f aca="false">IF(AA35="Cf.","Cf.","")</f>
        <v/>
      </c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30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/>
      </c>
      <c r="Z35" s="10" t="str">
        <f aca="false">IF(ISERROR(MATCH(A35,'[1]liste reference'!$A$7:$A$892,0)),IF(ISERROR(MATCH(A35,'[1]liste reference'!$B$7:$B$892,0)),"",(MATCH(A35,'[1]liste reference'!$B$7:$B$892,0))),(MATCH(A35,'[1]liste reference'!$A$7:$A$892,0)))</f>
        <v/>
      </c>
      <c r="AA35" s="220"/>
      <c r="AB35" s="221"/>
      <c r="AC35" s="221"/>
      <c r="BC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/>
      </c>
      <c r="E36" s="225" t="n">
        <f aca="false">IF(D36="",0,VLOOKUP(D36,D$22:D35,1,0))</f>
        <v>0</v>
      </c>
      <c r="F36" s="232" t="n">
        <f aca="false">($B36*$B$7+$C36*$C$7)/100</f>
        <v>0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/>
      </c>
      <c r="H36" s="209" t="str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x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/>
      </c>
      <c r="L36" s="229"/>
      <c r="M36" s="229"/>
      <c r="N36" s="229"/>
      <c r="O36" s="214" t="str">
        <f aca="false">IF(AA36="Cf.","Cf.","")</f>
        <v/>
      </c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/>
      </c>
      <c r="Z36" s="10" t="str">
        <f aca="false">IF(ISERROR(MATCH(A36,'[1]liste reference'!$A$7:$A$892,0)),IF(ISERROR(MATCH(A36,'[1]liste reference'!$B$7:$B$892,0)),"",(MATCH(A36,'[1]liste reference'!$B$7:$B$892,0))),(MATCH(A36,'[1]liste reference'!$A$7:$A$892,0)))</f>
        <v/>
      </c>
      <c r="AA36" s="220"/>
      <c r="AB36" s="221"/>
      <c r="AC36" s="221"/>
      <c r="BC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5" t="n">
        <f aca="false">IF(D37="",0,VLOOKUP(D37,D$22:D36,1,0))</f>
        <v>0</v>
      </c>
      <c r="F37" s="232" t="n">
        <f aca="false">($B37*$B$7+$C37*$C$7)/100</f>
        <v>0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/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8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/>
      </c>
      <c r="L37" s="229"/>
      <c r="M37" s="229"/>
      <c r="N37" s="229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30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/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/>
      <c r="AC37" s="221"/>
      <c r="BC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5" t="n">
        <f aca="false">IF(D38="",0,VLOOKUP(D38,D$22:D37,1,0))</f>
        <v>0</v>
      </c>
      <c r="F38" s="232" t="n">
        <f aca="false">($B38*$B$7+$C38*$C$7)/100</f>
        <v>0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8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9"/>
      <c r="M38" s="229"/>
      <c r="N38" s="229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30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5" t="n">
        <f aca="false">IF(D39="",0,VLOOKUP(D39,D$22:D38,1,0))</f>
        <v>0</v>
      </c>
      <c r="F39" s="232" t="n">
        <f aca="false">($B39*$B$7+$C39*$C$7)/100</f>
        <v>0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8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9"/>
      <c r="M39" s="229"/>
      <c r="N39" s="229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30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5" t="n">
        <f aca="false">IF(D40="",0,VLOOKUP(D40,D$22:D39,1,0))</f>
        <v>0</v>
      </c>
      <c r="F40" s="232" t="n">
        <f aca="false">($B40*$B$7+$C40*$C$7)/100</f>
        <v>0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9"/>
      <c r="M40" s="229"/>
      <c r="N40" s="229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5" t="n">
        <f aca="false">IF(D41="",0,VLOOKUP(D41,D$22:D40,1,0))</f>
        <v>0</v>
      </c>
      <c r="F41" s="232" t="n">
        <f aca="false">($B41*$B$7+$C41*$C$7)/100</f>
        <v>0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9"/>
      <c r="M41" s="229"/>
      <c r="N41" s="229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5" t="n">
        <f aca="false">IF(D42="",0,VLOOKUP(D42,D$22:D41,1,0))</f>
        <v>0</v>
      </c>
      <c r="F42" s="232" t="n">
        <f aca="false">($B42*$B$7+$C42*$C$7)/100</f>
        <v>0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8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9"/>
      <c r="M42" s="229"/>
      <c r="N42" s="229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30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5" t="n">
        <f aca="false">IF(D43="",0,VLOOKUP(D43,D$22:D42,1,0))</f>
        <v>0</v>
      </c>
      <c r="F43" s="232" t="n">
        <f aca="false">($B43*$B$7+$C43*$C$7)/100</f>
        <v>0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8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9"/>
      <c r="M43" s="229"/>
      <c r="N43" s="229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30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5" t="n">
        <f aca="false">IF(D44="",0,VLOOKUP(D44,D$22:D43,1,0))</f>
        <v>0</v>
      </c>
      <c r="F44" s="232" t="n">
        <f aca="false">($B44*$B$7+$C44*$C$7)/100</f>
        <v>0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8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9"/>
      <c r="M44" s="229"/>
      <c r="N44" s="229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30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5" t="n">
        <f aca="false">IF(D45="",0,VLOOKUP(D45,D$22:D44,1,0))</f>
        <v>0</v>
      </c>
      <c r="F45" s="232" t="n">
        <f aca="false">($B45*$B$7+$C45*$C$7)/100</f>
        <v>0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9"/>
      <c r="M45" s="229"/>
      <c r="N45" s="229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5" t="n">
        <f aca="false">IF(D46="",0,VLOOKUP(D46,D$22:D39,1,0))</f>
        <v>0</v>
      </c>
      <c r="F46" s="232" t="n">
        <f aca="false">($B46*$B$7+$C46*$C$7)/100</f>
        <v>0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9"/>
      <c r="M46" s="229"/>
      <c r="N46" s="229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5" t="n">
        <f aca="false">IF(D47="",0,VLOOKUP(D47,D$22:D39,1,0))</f>
        <v>0</v>
      </c>
      <c r="F47" s="232" t="n">
        <f aca="false">($B47*$B$7+$C47*$C$7)/100</f>
        <v>0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8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9"/>
      <c r="M47" s="229"/>
      <c r="N47" s="229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30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5" t="n">
        <f aca="false">IF(D52="",0,VLOOKUP(D52,D$22:D51,1,0))</f>
        <v>0</v>
      </c>
      <c r="F52" s="232" t="n">
        <f aca="false">($B52*$B$7+$C52*$C$7)/100</f>
        <v>0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8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9"/>
      <c r="M52" s="229"/>
      <c r="N52" s="229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30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9"/>
      <c r="M53" s="229"/>
      <c r="N53" s="229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85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Rhone</v>
      </c>
      <c r="B84" s="253" t="str">
        <f aca="false">C3</f>
        <v>Rhone a Vernaison</v>
      </c>
      <c r="C84" s="254" t="n">
        <f aca="false">A4</f>
        <v>41170</v>
      </c>
      <c r="D84" s="255" t="n">
        <f aca="false">IF(ISERROR(SUM($T$23:$T$82)/SUM($U$23:$U$82)),"",SUM($T$23:$T$82)/SUM($U$23:$U$82))</f>
        <v>9.27272727272727</v>
      </c>
      <c r="E84" s="256" t="n">
        <f aca="false">N13</f>
        <v>6</v>
      </c>
      <c r="F84" s="253" t="n">
        <f aca="false">N14</f>
        <v>3</v>
      </c>
      <c r="G84" s="253" t="n">
        <f aca="false">N15</f>
        <v>1</v>
      </c>
      <c r="H84" s="253" t="n">
        <f aca="false">N16</f>
        <v>2</v>
      </c>
      <c r="I84" s="253" t="n">
        <f aca="false">N17</f>
        <v>0</v>
      </c>
      <c r="J84" s="257" t="n">
        <f aca="false">N8</f>
        <v>9.33333333333333</v>
      </c>
      <c r="K84" s="255" t="n">
        <f aca="false">N9</f>
        <v>1.15470053837925</v>
      </c>
      <c r="L84" s="256" t="n">
        <f aca="false">N10</f>
        <v>8</v>
      </c>
      <c r="M84" s="256" t="n">
        <f aca="false">N11</f>
        <v>10</v>
      </c>
      <c r="N84" s="255" t="n">
        <f aca="false">O8</f>
        <v>1.66666666666667</v>
      </c>
      <c r="O84" s="255" t="n">
        <f aca="false">O9</f>
        <v>0.577350269189626</v>
      </c>
      <c r="P84" s="256" t="n">
        <f aca="false">O10</f>
        <v>1</v>
      </c>
      <c r="Q84" s="256" t="n">
        <f aca="false">O11</f>
        <v>2</v>
      </c>
      <c r="R84" s="256" t="n">
        <f aca="false">F21</f>
        <v>4.6655380794702</v>
      </c>
      <c r="S84" s="256" t="n">
        <f aca="false">K11</f>
        <v>0</v>
      </c>
      <c r="T84" s="256" t="n">
        <f aca="false">K12</f>
        <v>0</v>
      </c>
      <c r="U84" s="256" t="n">
        <f aca="false">K13</f>
        <v>0</v>
      </c>
      <c r="V84" s="258" t="n">
        <f aca="false">K14</f>
        <v>0</v>
      </c>
      <c r="W84" s="259" t="n">
        <f aca="false">K15</f>
        <v>4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86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7" t="n">
        <f aca="false">VLOOKUP((S87),($S$23:$U$82),2,0)</f>
        <v>30</v>
      </c>
      <c r="T88" s="10"/>
      <c r="U88" s="10"/>
      <c r="V88" s="10"/>
    </row>
    <row r="89" customFormat="false" ht="12.75" hidden="false" customHeight="false" outlineLevel="0" collapsed="false">
      <c r="Q89" s="10" t="s">
        <v>89</v>
      </c>
      <c r="R89" s="10"/>
      <c r="S89" s="217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2" t="n">
        <f aca="false">IF(ISERROR(SUM($T$23:$T$82)/SUM($U$23:$U$82)),"",(SUM($T$23:$T$82)-S88)/(SUM($U$23:$U$82)-S89))</f>
        <v>9</v>
      </c>
      <c r="T90" s="10"/>
    </row>
    <row r="91" customFormat="false" ht="12.75" hidden="false" customHeight="false" outlineLevel="0" collapsed="false">
      <c r="Q91" s="216" t="s">
        <v>91</v>
      </c>
      <c r="R91" s="216"/>
      <c r="S91" s="216" t="str">
        <f aca="false">INDEX('[1]liste reference'!$A$7:$A$892,$T$91)</f>
        <v>AGRSTO</v>
      </c>
      <c r="T91" s="10" t="n">
        <f aca="false">IF(ISERROR(MATCH($S$93,'[1]liste reference'!$A$7:$A$892,0)),MATCH($S$93,'[1]liste reference'!$B$7:$B$892,0),(MATCH($S$93,'[1]liste reference'!$A$7:$A$892,0)))</f>
        <v>8</v>
      </c>
      <c r="U91" s="251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93</v>
      </c>
      <c r="R93" s="10"/>
      <c r="S93" s="216" t="str">
        <f aca="false">INDEX($A$23:$A$82,$S$92)</f>
        <v>AGRSTO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2013-03-13T12:56:12Z</dcterms:created>
  <dc:creator>Laurent Bourgoin</dc:creator>
  <dc:description/>
  <dc:language>fr-FR</dc:language>
  <cp:lastModifiedBy>IMBERT Loïc</cp:lastModifiedBy>
  <dcterms:modified xsi:type="dcterms:W3CDTF">2013-10-03T13:58:02Z</dcterms:modified>
  <cp:revision>0</cp:revision>
  <dc:subject/>
  <dc:title/>
</cp:coreProperties>
</file>