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17</xdr:colOff>
                <xdr:row>1</xdr:row>
                <xdr:rowOff>7</xdr:rowOff>
              </xdr:from>
              <xdr:to>
                <xdr:col>13</xdr:col>
                <xdr:colOff>4</xdr:colOff>
                <xdr:row>3</xdr:row>
                <xdr:rowOff>7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<sst xmlns="http://schemas.openxmlformats.org/spreadsheetml/2006/main" count="120" uniqueCount="115">
  <si>
    <t xml:space="preserve">Relevés floristiques aquatiques - IBMR</t>
  </si>
  <si>
    <t xml:space="preserve">Formulaire modèle GIS Macrophytes v 3.3 - novembre 2013  </t>
  </si>
  <si>
    <t xml:space="preserve">SAGE ENVIRONNEMENT</t>
  </si>
  <si>
    <t xml:space="preserve">L.ISEBE P.BELLY</t>
  </si>
  <si>
    <t xml:space="preserve">conforme AFNOR T90-395 oct. 2003</t>
  </si>
  <si>
    <t xml:space="preserve">RHONE</t>
  </si>
  <si>
    <t xml:space="preserve">RHONE A SERRIERES</t>
  </si>
  <si>
    <t xml:space="preserve">06100900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</si>
  <si>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</si>
  <si>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</si>
  <si>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</si>
  <si>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</si>
  <si>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</si>
  <si>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</si>
  <si>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</si>
  <si>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</si>
  <si>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MYRSPI</t>
  </si>
  <si>
    <t xml:space="preserve">Faciès dominant</t>
  </si>
  <si>
    <t xml:space="preserve">chenal lotique</t>
  </si>
  <si>
    <t xml:space="preserve">plat lentique</t>
  </si>
  <si>
    <t xml:space="preserve">niv. trophique:</t>
  </si>
  <si>
    <t xml:space="preserve">très élevé</t>
  </si>
  <si>
    <t xml:space="preserve">(très élevé)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</si>
  <si>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</si>
  <si>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</si>
  <si>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</si>
  <si>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</si>
  <si>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</si>
  <si>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</si>
  <si>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</si>
  <si>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</si>
  <si>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</si>
  <si>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absent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</si>
  <si>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</si>
  <si>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</si>
  <si>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</si>
  <si>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</si>
  <si>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</si>
  <si>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</si>
  <si>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</si>
  <si>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</si>
  <si>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</si>
  <si>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</si>
  <si>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</si>
  <si>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</si>
  <si>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</si>
  <si>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</si>
  <si>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</si>
  <si>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</si>
  <si>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</si>
  <si>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</si>
  <si>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</si>
  <si>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</si>
  <si>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</si>
  <si>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</si>
  <si>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</si>
  <si>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</si>
  <si>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</si>
  <si>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</si>
  <si>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</si>
  <si>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</si>
  <si>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</si>
  <si>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</si>
  <si>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</si>
  <si>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</si>
  <si>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</si>
  <si>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</si>
  <si>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</si>
  <si>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</si>
  <si>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</si>
  <si>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</si>
  <si>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</si>
  <si>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</si>
  <si>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</si>
  <si>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</si>
  <si>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</si>
  <si>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</si>
  <si>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</si>
  <si>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</si>
  <si>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HYISPX</t>
  </si>
  <si>
    <t xml:space="preserve">MOUSPX</t>
  </si>
  <si>
    <t xml:space="preserve">OEDSPX</t>
  </si>
  <si>
    <t xml:space="preserve">PHOSPX</t>
  </si>
  <si>
    <t xml:space="preserve">SPISPX</t>
  </si>
  <si>
    <t xml:space="preserve">CALPLA</t>
  </si>
  <si>
    <t xml:space="preserve">CERDEM</t>
  </si>
  <si>
    <t xml:space="preserve">CERSUB</t>
  </si>
  <si>
    <t xml:space="preserve">EGEDEN</t>
  </si>
  <si>
    <t xml:space="preserve">ELONUT</t>
  </si>
  <si>
    <t xml:space="preserve">LEMMIN</t>
  </si>
  <si>
    <t xml:space="preserve">NAJMAR</t>
  </si>
  <si>
    <t xml:space="preserve">NUPLUT</t>
  </si>
  <si>
    <t xml:space="preserve">POTNOD</t>
  </si>
  <si>
    <t xml:space="preserve">POTPEC</t>
  </si>
  <si>
    <t xml:space="preserve">POTPER</t>
  </si>
  <si>
    <t xml:space="preserve">SPAEML</t>
  </si>
  <si>
    <t xml:space="preserve">SPRPOL</t>
  </si>
  <si>
    <t xml:space="preserve">CARSPX</t>
  </si>
  <si>
    <t xml:space="preserve">IRIPSE</t>
  </si>
  <si>
    <t xml:space="preserve">LYTSAL</t>
  </si>
  <si>
    <t xml:space="preserve">PHAARU</t>
  </si>
  <si>
    <t xml:space="preserve">PHRAUS</t>
  </si>
  <si>
    <t xml:space="preserve">POLHYD</t>
  </si>
  <si>
    <t xml:space="preserve">REYJAP</t>
  </si>
  <si>
    <t xml:space="preserve">TYPLAT</t>
  </si>
  <si>
    <t xml:space="preserve">BIDSPX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</si>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</sst>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3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3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3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3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3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3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3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RHOSER_02-09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station XX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41884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6.84313725490196</v>
      </c>
      <c r="M5" s="53"/>
      <c r="N5" s="54" t="s">
        <v>16</v>
      </c>
      <c r="O5" s="55" t="n">
        <v>6.74468085106383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46</v>
      </c>
      <c r="C7" s="67" t="n">
        <v>54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7.66666666666667</v>
      </c>
      <c r="O8" s="84" t="n">
        <f aca="false">IF(ISERROR(AVERAGE(J23:J82)),"      -",AVERAGE(J23:J82))</f>
        <v>1.75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28.86</v>
      </c>
      <c r="C9" s="87" t="n">
        <v>100</v>
      </c>
      <c r="D9" s="88"/>
      <c r="E9" s="88"/>
      <c r="F9" s="89" t="n">
        <f aca="false">($B9*$B$7+$C9*$C$7)/100</f>
        <v>67.2756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2.83823106098773</v>
      </c>
      <c r="O9" s="84" t="n">
        <f aca="false">IF(ISERROR(STDEVP(J23:J82)),"      -",STDEVP(J23:J82))</f>
        <v>0.661437827766148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2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13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0.21</v>
      </c>
      <c r="C12" s="119" t="n">
        <v>24.66</v>
      </c>
      <c r="D12" s="111"/>
      <c r="E12" s="111"/>
      <c r="F12" s="112" t="n">
        <f aca="false">($B12*$B$7+$C12*$C$7)/100</f>
        <v>13.413</v>
      </c>
      <c r="G12" s="120"/>
      <c r="H12" s="68"/>
      <c r="I12" s="121" t="s">
        <v>39</v>
      </c>
      <c r="J12" s="121"/>
      <c r="K12" s="115" t="n">
        <f aca="false">COUNTIF($G$23:$G$82,"=ALG")</f>
        <v>6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/>
      <c r="C13" s="119"/>
      <c r="D13" s="111"/>
      <c r="E13" s="111"/>
      <c r="F13" s="112" t="n">
        <f aca="false">($B13*$B$7+$C13*$C$7)/100</f>
        <v>0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0</v>
      </c>
      <c r="L13" s="116"/>
      <c r="M13" s="127" t="s">
        <v>42</v>
      </c>
      <c r="N13" s="128" t="n">
        <f aca="false">COUNTIF(F23:F82,"&gt;0")</f>
        <v>29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24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 t="n">
        <v>28.65</v>
      </c>
      <c r="C15" s="136" t="n">
        <v>75.99</v>
      </c>
      <c r="D15" s="111"/>
      <c r="E15" s="111"/>
      <c r="F15" s="112" t="n">
        <f aca="false">($B15*$B$7+$C15*$C$7)/100</f>
        <v>54.2136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23</v>
      </c>
      <c r="L15" s="116"/>
      <c r="M15" s="137" t="s">
        <v>48</v>
      </c>
      <c r="N15" s="138" t="n">
        <f aca="false">COUNTIF(J23:J82,"=1")</f>
        <v>9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 t="n">
        <v>0.21</v>
      </c>
      <c r="C16" s="110" t="n">
        <v>24.66</v>
      </c>
      <c r="D16" s="140"/>
      <c r="E16" s="140"/>
      <c r="F16" s="141"/>
      <c r="G16" s="141" t="n">
        <f aca="false">($B16*$B$7+$C16*$C$7)/100</f>
        <v>13.413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12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28.65</v>
      </c>
      <c r="C17" s="119" t="n">
        <v>75.89</v>
      </c>
      <c r="D17" s="111"/>
      <c r="E17" s="111"/>
      <c r="F17" s="143"/>
      <c r="G17" s="112" t="n">
        <f aca="false">($B17*$B$7+$C17*$C$7)/100</f>
        <v>54.1596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3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/>
      <c r="C18" s="146" t="n">
        <v>0.1</v>
      </c>
      <c r="D18" s="111"/>
      <c r="E18" s="147" t="s">
        <v>54</v>
      </c>
      <c r="F18" s="143"/>
      <c r="G18" s="112" t="n">
        <f aca="false">($B18*$B$7+$C18*$C$7)/100</f>
        <v>0.054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67.6266</v>
      </c>
      <c r="G19" s="156" t="n">
        <f aca="false">SUM(G16:G18)</f>
        <v>67.6266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30.1111111111111</v>
      </c>
      <c r="C20" s="166" t="n">
        <f aca="false">SUM(C23:C82)</f>
        <v>99.7144743276283</v>
      </c>
      <c r="D20" s="167"/>
      <c r="E20" s="168" t="s">
        <v>54</v>
      </c>
      <c r="F20" s="169" t="n">
        <f aca="false">($B20*$B$7+$C20*$C$7)/100</f>
        <v>67.6969272480304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13.8511111111111</v>
      </c>
      <c r="C21" s="179" t="n">
        <f aca="false">C20*C7/100</f>
        <v>53.8458161369193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67.6969272480304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3" t="s">
        <v>77</v>
      </c>
    </row>
    <row r="23" customFormat="false" ht="12.75" hidden="false" customHeight="false" outlineLevel="0" collapsed="false">
      <c r="A23" s="204" t="s">
        <v>78</v>
      </c>
      <c r="B23" s="205" t="n">
        <v>0.111111111111111</v>
      </c>
      <c r="C23" s="206" t="n">
        <v>5.34496332518337</v>
      </c>
      <c r="D23" s="207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Cladophora sp.</v>
      </c>
      <c r="E23" s="207" t="e">
        <f aca="false">IF(D23="",0,VLOOKUP(D23,D$22:D22,1,0))</f>
        <v>#N/A</v>
      </c>
      <c r="F23" s="208" t="n">
        <f aca="false">($B23*$B$7+$C23*$C$7)/100</f>
        <v>2.93739130671013</v>
      </c>
      <c r="G23" s="209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10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1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6</v>
      </c>
      <c r="J23" s="211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1</v>
      </c>
      <c r="K23" s="212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Cladophora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1124</v>
      </c>
      <c r="Q23" s="216" t="n">
        <f aca="false">IF(ISTEXT(H23),"",(B23*$B$7/100)+(C23*$C$7/100))</f>
        <v>2.93739130671013</v>
      </c>
      <c r="R23" s="217" t="n">
        <f aca="false">IF(OR(ISTEXT(H23),Q23=0),"",IF(Q23&lt;0.1,1,IF(Q23&lt;1,2,IF(Q23&lt;10,3,IF(Q23&lt;50,4,IF(Q23&gt;=50,5,""))))))</f>
        <v>3</v>
      </c>
      <c r="S23" s="217" t="n">
        <f aca="false">IF(ISERROR(R23*I23),0,R23*I23)</f>
        <v>18</v>
      </c>
      <c r="T23" s="217" t="n">
        <f aca="false">IF(ISERROR(R23*I23*J23),0,R23*I23*J23)</f>
        <v>18</v>
      </c>
      <c r="U23" s="217" t="n">
        <f aca="false">IF(ISERROR(R23*J23),0,R23*J23)</f>
        <v>3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IF(A23="new.cod","NEWCOD",IF(AND((Z23=""),ISTEXT(A23)),A23,IF(Z23="","",INDEX('[2]liste reference'!$A$8:$A$904,Z23))))</f>
        <v>CLASPX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23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79</v>
      </c>
      <c r="B24" s="224" t="n">
        <v>0</v>
      </c>
      <c r="C24" s="225" t="n">
        <v>7.82371638141809</v>
      </c>
      <c r="D24" s="207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Hydrodictyon sp.</v>
      </c>
      <c r="E24" s="226" t="e">
        <f aca="false">IF(D24="",0,VLOOKUP(D24,D$22:D23,1,0))</f>
        <v>#N/A</v>
      </c>
      <c r="F24" s="227" t="n">
        <f aca="false">($B24*$B$7+$C24*$C$7)/100</f>
        <v>4.22480684596577</v>
      </c>
      <c r="G24" s="209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10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1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6</v>
      </c>
      <c r="J24" s="211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2</v>
      </c>
      <c r="K24" s="212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Hydrodictyon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5686</v>
      </c>
      <c r="Q24" s="216" t="n">
        <f aca="false">IF(ISTEXT(H24),"",(B24*$B$7/100)+(C24*$C$7/100))</f>
        <v>4.22480684596577</v>
      </c>
      <c r="R24" s="217" t="n">
        <f aca="false">IF(OR(ISTEXT(H24),Q24=0),"",IF(Q24&lt;0.1,1,IF(Q24&lt;1,2,IF(Q24&lt;10,3,IF(Q24&lt;50,4,IF(Q24&gt;=50,5,""))))))</f>
        <v>3</v>
      </c>
      <c r="S24" s="217" t="n">
        <f aca="false">IF(ISERROR(R24*I24),0,R24*I24)</f>
        <v>18</v>
      </c>
      <c r="T24" s="217" t="n">
        <f aca="false">IF(ISERROR(R24*I24*J24),0,R24*I24*J24)</f>
        <v>36</v>
      </c>
      <c r="U24" s="229" t="n">
        <f aca="false">IF(ISERROR(R24*J24),0,R24*J24)</f>
        <v>6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IF(A24="new.cod","NEWCOD",IF(AND((Z24=""),ISTEXT(A24)),A24,IF(Z24="","",INDEX('[2]liste reference'!$A$8:$A$904,Z24))))</f>
        <v>HYISPX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32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80</v>
      </c>
      <c r="B25" s="224" t="n">
        <v>0</v>
      </c>
      <c r="C25" s="225" t="n">
        <v>0.763300733496332</v>
      </c>
      <c r="D25" s="207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Mougeotia sp.</v>
      </c>
      <c r="E25" s="226" t="e">
        <f aca="false">IF(D25="",0,VLOOKUP(D25,D$22:D24,1,0))</f>
        <v>#N/A</v>
      </c>
      <c r="F25" s="227" t="n">
        <f aca="false">($B25*$B$7+$C25*$C$7)/100</f>
        <v>0.412182396088019</v>
      </c>
      <c r="G25" s="209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ALG</v>
      </c>
      <c r="H25" s="210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2</v>
      </c>
      <c r="I25" s="211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13</v>
      </c>
      <c r="J25" s="211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2</v>
      </c>
      <c r="K25" s="212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Mougeotia sp.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1146</v>
      </c>
      <c r="Q25" s="216" t="n">
        <f aca="false">IF(ISTEXT(H25),"",(B25*$B$7/100)+(C25*$C$7/100))</f>
        <v>0.412182396088019</v>
      </c>
      <c r="R25" s="217" t="n">
        <f aca="false">IF(OR(ISTEXT(H25),Q25=0),"",IF(Q25&lt;0.1,1,IF(Q25&lt;1,2,IF(Q25&lt;10,3,IF(Q25&lt;50,4,IF(Q25&gt;=50,5,""))))))</f>
        <v>2</v>
      </c>
      <c r="S25" s="217" t="n">
        <f aca="false">IF(ISERROR(R25*I25),0,R25*I25)</f>
        <v>26</v>
      </c>
      <c r="T25" s="217" t="n">
        <f aca="false">IF(ISERROR(R25*I25*J25),0,R25*I25*J25)</f>
        <v>52</v>
      </c>
      <c r="U25" s="229" t="n">
        <f aca="false">IF(ISERROR(R25*J25),0,R25*J25)</f>
        <v>4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IF(A25="new.cod","NEWCOD",IF(AND((Z25=""),ISTEXT(A25)),A25,IF(Z25="","",INDEX('[2]liste reference'!$A$8:$A$904,Z25))))</f>
        <v>MOUSPX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43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81</v>
      </c>
      <c r="B26" s="224" t="n">
        <v>0.111111111111111</v>
      </c>
      <c r="C26" s="225" t="n">
        <v>3.62486552567237</v>
      </c>
      <c r="D26" s="207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Oedogonium sp.</v>
      </c>
      <c r="E26" s="226" t="e">
        <f aca="false">IF(D26="",0,VLOOKUP(D26,D$22:D25,1,0))</f>
        <v>#N/A</v>
      </c>
      <c r="F26" s="227" t="n">
        <f aca="false">($B26*$B$7+$C26*$C$7)/100</f>
        <v>2.00853849497419</v>
      </c>
      <c r="G26" s="209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ALG</v>
      </c>
      <c r="H26" s="210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2</v>
      </c>
      <c r="I26" s="211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6</v>
      </c>
      <c r="J26" s="211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2</v>
      </c>
      <c r="K26" s="212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Oedogonium sp.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1134</v>
      </c>
      <c r="Q26" s="216" t="n">
        <f aca="false">IF(ISTEXT(H26),"",(B26*$B$7/100)+(C26*$C$7/100))</f>
        <v>2.00853849497419</v>
      </c>
      <c r="R26" s="217" t="n">
        <f aca="false">IF(OR(ISTEXT(H26),Q26=0),"",IF(Q26&lt;0.1,1,IF(Q26&lt;1,2,IF(Q26&lt;10,3,IF(Q26&lt;50,4,IF(Q26&gt;=50,5,""))))))</f>
        <v>3</v>
      </c>
      <c r="S26" s="217" t="n">
        <f aca="false">IF(ISERROR(R26*I26),0,R26*I26)</f>
        <v>18</v>
      </c>
      <c r="T26" s="217" t="n">
        <f aca="false">IF(ISERROR(R26*I26*J26),0,R26*I26*J26)</f>
        <v>36</v>
      </c>
      <c r="U26" s="229" t="n">
        <f aca="false">IF(ISERROR(R26*J26),0,R26*J26)</f>
        <v>6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IF(A26="new.cod","NEWCOD",IF(AND((Z26=""),ISTEXT(A26)),A26,IF(Z26="","",INDEX('[2]liste reference'!$A$8:$A$904,Z26))))</f>
        <v>OEDSPX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55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82</v>
      </c>
      <c r="B27" s="224" t="n">
        <v>0</v>
      </c>
      <c r="C27" s="225" t="n">
        <v>0.953545232273838</v>
      </c>
      <c r="D27" s="207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Phormidium sp.</v>
      </c>
      <c r="E27" s="226" t="e">
        <f aca="false">IF(D27="",0,VLOOKUP(D27,D$22:D26,1,0))</f>
        <v>#N/A</v>
      </c>
      <c r="F27" s="227" t="n">
        <f aca="false">($B27*$B$7+$C27*$C$7)/100</f>
        <v>0.514914425427873</v>
      </c>
      <c r="G27" s="209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ALG</v>
      </c>
      <c r="H27" s="210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2</v>
      </c>
      <c r="I27" s="211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13</v>
      </c>
      <c r="J27" s="211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2</v>
      </c>
      <c r="K27" s="212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Phormidium sp.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6414</v>
      </c>
      <c r="Q27" s="216" t="n">
        <f aca="false">IF(ISTEXT(H27),"",(B27*$B$7/100)+(C27*$C$7/100))</f>
        <v>0.514914425427873</v>
      </c>
      <c r="R27" s="217" t="n">
        <f aca="false">IF(OR(ISTEXT(H27),Q27=0),"",IF(Q27&lt;0.1,1,IF(Q27&lt;1,2,IF(Q27&lt;10,3,IF(Q27&lt;50,4,IF(Q27&gt;=50,5,""))))))</f>
        <v>2</v>
      </c>
      <c r="S27" s="217" t="n">
        <f aca="false">IF(ISERROR(R27*I27),0,R27*I27)</f>
        <v>26</v>
      </c>
      <c r="T27" s="217" t="n">
        <f aca="false">IF(ISERROR(R27*I27*J27),0,R27*I27*J27)</f>
        <v>52</v>
      </c>
      <c r="U27" s="229" t="n">
        <f aca="false">IF(ISERROR(R27*J27),0,R27*J27)</f>
        <v>4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IF(A27="new.cod","NEWCOD",IF(AND((Z27=""),ISTEXT(A27)),A27,IF(Z27="","",INDEX('[2]liste reference'!$A$8:$A$904,Z27))))</f>
        <v>PHOSPX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57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83</v>
      </c>
      <c r="B28" s="224" t="n">
        <v>0</v>
      </c>
      <c r="C28" s="225" t="n">
        <v>5.24542787286064</v>
      </c>
      <c r="D28" s="207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>Spirogyra sp.</v>
      </c>
      <c r="E28" s="226" t="e">
        <f aca="false">IF(D28="",0,VLOOKUP(D28,D$22:D27,1,0))</f>
        <v>#N/A</v>
      </c>
      <c r="F28" s="227" t="n">
        <f aca="false">($B28*$B$7+$C28*$C$7)/100</f>
        <v>2.83253105134474</v>
      </c>
      <c r="G28" s="209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ALG</v>
      </c>
      <c r="H28" s="210" t="n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2</v>
      </c>
      <c r="I28" s="211" t="n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>10</v>
      </c>
      <c r="J28" s="211" t="n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>1</v>
      </c>
      <c r="K28" s="212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Spirogyra sp.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1147</v>
      </c>
      <c r="Q28" s="216" t="n">
        <f aca="false">IF(ISTEXT(H28),"",(B28*$B$7/100)+(C28*$C$7/100))</f>
        <v>2.83253105134474</v>
      </c>
      <c r="R28" s="217" t="n">
        <f aca="false">IF(OR(ISTEXT(H28),Q28=0),"",IF(Q28&lt;0.1,1,IF(Q28&lt;1,2,IF(Q28&lt;10,3,IF(Q28&lt;50,4,IF(Q28&gt;=50,5,""))))))</f>
        <v>3</v>
      </c>
      <c r="S28" s="217" t="n">
        <f aca="false">IF(ISERROR(R28*I28),0,R28*I28)</f>
        <v>30</v>
      </c>
      <c r="T28" s="217" t="n">
        <f aca="false">IF(ISERROR(R28*I28*J28),0,R28*I28*J28)</f>
        <v>30</v>
      </c>
      <c r="U28" s="229" t="n">
        <f aca="false">IF(ISERROR(R28*J28),0,R28*J28)</f>
        <v>3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IF(A28="new.cod","NEWCOD",IF(AND((Z28=""),ISTEXT(A28)),A28,IF(Z28="","",INDEX('[2]liste reference'!$A$8:$A$904,Z28))))</f>
        <v>SPISPX</v>
      </c>
      <c r="Z28" s="10" t="n">
        <f aca="false">IF(ISERROR(MATCH(A28,'[2]liste reference'!$A$8:$A$904,0)),IF(ISERROR(MATCH(A28,'[2]liste reference'!$B$8:$B$904,0)),"",(MATCH(A28,'[2]liste reference'!$B$8:$B$904,0))),(MATCH(A28,'[2]liste reference'!$A$8:$A$904,0)))</f>
        <v>69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84</v>
      </c>
      <c r="B29" s="224" t="n">
        <v>0</v>
      </c>
      <c r="C29" s="225" t="n">
        <v>0.0953545232273838</v>
      </c>
      <c r="D29" s="207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>Callitriche platycarpa</v>
      </c>
      <c r="E29" s="226" t="e">
        <f aca="false">IF(D29="",0,VLOOKUP(D29,D$22:D28,1,0))</f>
        <v>#N/A</v>
      </c>
      <c r="F29" s="227" t="n">
        <f aca="false">($B29*$B$7+$C29*$C$7)/100</f>
        <v>0.0514914425427873</v>
      </c>
      <c r="G29" s="209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>PHy</v>
      </c>
      <c r="H29" s="210" t="n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7</v>
      </c>
      <c r="I29" s="211" t="n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>10</v>
      </c>
      <c r="J29" s="211" t="n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>1</v>
      </c>
      <c r="K29" s="212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>Callitriche platycarpa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>1702</v>
      </c>
      <c r="Q29" s="216" t="n">
        <f aca="false">IF(ISTEXT(H29),"",(B29*$B$7/100)+(C29*$C$7/100))</f>
        <v>0.0514914425427873</v>
      </c>
      <c r="R29" s="217" t="n">
        <f aca="false">IF(OR(ISTEXT(H29),Q29=0),"",IF(Q29&lt;0.1,1,IF(Q29&lt;1,2,IF(Q29&lt;10,3,IF(Q29&lt;50,4,IF(Q29&gt;=50,5,""))))))</f>
        <v>1</v>
      </c>
      <c r="S29" s="217" t="n">
        <f aca="false">IF(ISERROR(R29*I29),0,R29*I29)</f>
        <v>10</v>
      </c>
      <c r="T29" s="217" t="n">
        <f aca="false">IF(ISERROR(R29*I29*J29),0,R29*I29*J29)</f>
        <v>10</v>
      </c>
      <c r="U29" s="229" t="n">
        <f aca="false">IF(ISERROR(R29*J29),0,R29*J29)</f>
        <v>1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IF(A29="new.cod","NEWCOD",IF(AND((Z29=""),ISTEXT(A29)),A29,IF(Z29="","",INDEX('[2]liste reference'!$A$8:$A$904,Z29))))</f>
        <v>CALPLA</v>
      </c>
      <c r="Z29" s="10" t="n">
        <f aca="false">IF(ISERROR(MATCH(A29,'[2]liste reference'!$A$8:$A$904,0)),IF(ISERROR(MATCH(A29,'[2]liste reference'!$B$8:$B$904,0)),"",(MATCH(A29,'[2]liste reference'!$B$8:$B$904,0))),(MATCH(A29,'[2]liste reference'!$A$8:$A$904,0)))</f>
        <v>322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 t="s">
        <v>85</v>
      </c>
      <c r="B30" s="224" t="n">
        <v>3.11111111111111</v>
      </c>
      <c r="C30" s="225" t="n">
        <v>15.3031784841076</v>
      </c>
      <c r="D30" s="207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>Ceratophyllum demersum</v>
      </c>
      <c r="E30" s="226" t="e">
        <f aca="false">IF(D30="",0,VLOOKUP(D30,D$22:D29,1,0))</f>
        <v>#N/A</v>
      </c>
      <c r="F30" s="227" t="n">
        <f aca="false">($B30*$B$7+$C30*$C$7)/100</f>
        <v>9.6948274925292</v>
      </c>
      <c r="G30" s="209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>PHy</v>
      </c>
      <c r="H30" s="210" t="n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7</v>
      </c>
      <c r="I30" s="211" t="n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>5</v>
      </c>
      <c r="J30" s="211" t="n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>2</v>
      </c>
      <c r="K30" s="212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>Ceratophyllum demersum</v>
      </c>
      <c r="L30" s="228"/>
      <c r="M30" s="228"/>
      <c r="N30" s="228"/>
      <c r="O30" s="214"/>
      <c r="P30" s="215" t="n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>1717</v>
      </c>
      <c r="Q30" s="216" t="n">
        <f aca="false">IF(ISTEXT(H30),"",(B30*$B$7/100)+(C30*$C$7/100))</f>
        <v>9.6948274925292</v>
      </c>
      <c r="R30" s="217" t="n">
        <f aca="false">IF(OR(ISTEXT(H30),Q30=0),"",IF(Q30&lt;0.1,1,IF(Q30&lt;1,2,IF(Q30&lt;10,3,IF(Q30&lt;50,4,IF(Q30&gt;=50,5,""))))))</f>
        <v>3</v>
      </c>
      <c r="S30" s="217" t="n">
        <f aca="false">IF(ISERROR(R30*I30),0,R30*I30)</f>
        <v>15</v>
      </c>
      <c r="T30" s="217" t="n">
        <f aca="false">IF(ISERROR(R30*I30*J30),0,R30*I30*J30)</f>
        <v>30</v>
      </c>
      <c r="U30" s="229" t="n">
        <f aca="false">IF(ISERROR(R30*J30),0,R30*J30)</f>
        <v>6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IF(A30="new.cod","NEWCOD",IF(AND((Z30=""),ISTEXT(A30)),A30,IF(Z30="","",INDEX('[2]liste reference'!$A$8:$A$904,Z30))))</f>
        <v>CERDEM</v>
      </c>
      <c r="Z30" s="10" t="n">
        <f aca="false">IF(ISERROR(MATCH(A30,'[2]liste reference'!$A$8:$A$904,0)),IF(ISERROR(MATCH(A30,'[2]liste reference'!$B$8:$B$904,0)),"",(MATCH(A30,'[2]liste reference'!$B$8:$B$904,0))),(MATCH(A30,'[2]liste reference'!$A$8:$A$904,0)))</f>
        <v>330</v>
      </c>
      <c r="AA30" s="221"/>
      <c r="AB30" s="222"/>
      <c r="AC30" s="222"/>
      <c r="BB30" s="10" t="n">
        <f aca="false">IF(A30="","",1)</f>
        <v>1</v>
      </c>
    </row>
    <row r="31" customFormat="false" ht="12.75" hidden="false" customHeight="false" outlineLevel="0" collapsed="false">
      <c r="A31" s="223" t="s">
        <v>86</v>
      </c>
      <c r="B31" s="224" t="n">
        <v>0</v>
      </c>
      <c r="C31" s="225" t="n">
        <v>0.572127139364303</v>
      </c>
      <c r="D31" s="207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>Ceratophyllum submersum</v>
      </c>
      <c r="E31" s="226" t="e">
        <f aca="false">IF(D31="",0,VLOOKUP(D31,D$22:D30,1,0))</f>
        <v>#N/A</v>
      </c>
      <c r="F31" s="227" t="n">
        <f aca="false">($B31*$B$7+$C31*$C$7)/100</f>
        <v>0.308948655256724</v>
      </c>
      <c r="G31" s="209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>PHy</v>
      </c>
      <c r="H31" s="210" t="n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7</v>
      </c>
      <c r="I31" s="211" t="n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>2</v>
      </c>
      <c r="J31" s="211" t="n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>3</v>
      </c>
      <c r="K31" s="212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>Ceratophyllum submersum</v>
      </c>
      <c r="L31" s="228"/>
      <c r="M31" s="228"/>
      <c r="N31" s="228"/>
      <c r="O31" s="214"/>
      <c r="P31" s="215" t="n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>1718</v>
      </c>
      <c r="Q31" s="216" t="n">
        <f aca="false">IF(ISTEXT(H31),"",(B31*$B$7/100)+(C31*$C$7/100))</f>
        <v>0.308948655256724</v>
      </c>
      <c r="R31" s="217" t="n">
        <f aca="false">IF(OR(ISTEXT(H31),Q31=0),"",IF(Q31&lt;0.1,1,IF(Q31&lt;1,2,IF(Q31&lt;10,3,IF(Q31&lt;50,4,IF(Q31&gt;=50,5,""))))))</f>
        <v>2</v>
      </c>
      <c r="S31" s="217" t="n">
        <f aca="false">IF(ISERROR(R31*I31),0,R31*I31)</f>
        <v>4</v>
      </c>
      <c r="T31" s="217" t="n">
        <f aca="false">IF(ISERROR(R31*I31*J31),0,R31*I31*J31)</f>
        <v>12</v>
      </c>
      <c r="U31" s="229" t="n">
        <f aca="false">IF(ISERROR(R31*J31),0,R31*J31)</f>
        <v>6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IF(A31="new.cod","NEWCOD",IF(AND((Z31=""),ISTEXT(A31)),A31,IF(Z31="","",INDEX('[2]liste reference'!$A$8:$A$904,Z31))))</f>
        <v>CERSUB</v>
      </c>
      <c r="Z31" s="10" t="n">
        <f aca="false">IF(ISERROR(MATCH(A31,'[2]liste reference'!$A$8:$A$904,0)),IF(ISERROR(MATCH(A31,'[2]liste reference'!$B$8:$B$904,0)),"",(MATCH(A31,'[2]liste reference'!$B$8:$B$904,0))),(MATCH(A31,'[2]liste reference'!$A$8:$A$904,0)))</f>
        <v>336</v>
      </c>
      <c r="AA31" s="221"/>
      <c r="AB31" s="222"/>
      <c r="AC31" s="222"/>
      <c r="BB31" s="10" t="n">
        <f aca="false">IF(A31="","",1)</f>
        <v>1</v>
      </c>
    </row>
    <row r="32" customFormat="false" ht="12.75" hidden="false" customHeight="false" outlineLevel="0" collapsed="false">
      <c r="A32" s="223" t="s">
        <v>87</v>
      </c>
      <c r="B32" s="224" t="n">
        <v>0.555555555555556</v>
      </c>
      <c r="C32" s="225" t="n">
        <v>0.0953545232273838</v>
      </c>
      <c r="D32" s="207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>Egeria densa</v>
      </c>
      <c r="E32" s="226" t="e">
        <f aca="false">IF(D32="",0,VLOOKUP(D32,D$22:D31,1,0))</f>
        <v>#N/A</v>
      </c>
      <c r="F32" s="227" t="n">
        <f aca="false">($B32*$B$7+$C32*$C$7)/100</f>
        <v>0.307046998098343</v>
      </c>
      <c r="G32" s="209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>PHy</v>
      </c>
      <c r="H32" s="210" t="n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7</v>
      </c>
      <c r="I32" s="211" t="str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/>
      </c>
      <c r="J32" s="211" t="str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/>
      </c>
      <c r="K32" s="212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>Egeria densa</v>
      </c>
      <c r="L32" s="228"/>
      <c r="M32" s="228"/>
      <c r="N32" s="228"/>
      <c r="O32" s="214"/>
      <c r="P32" s="215" t="n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>19626</v>
      </c>
      <c r="Q32" s="216" t="n">
        <f aca="false">IF(ISTEXT(H32),"",(B32*$B$7/100)+(C32*$C$7/100))</f>
        <v>0.307046998098343</v>
      </c>
      <c r="R32" s="217" t="n">
        <f aca="false">IF(OR(ISTEXT(H32),Q32=0),"",IF(Q32&lt;0.1,1,IF(Q32&lt;1,2,IF(Q32&lt;10,3,IF(Q32&lt;50,4,IF(Q32&gt;=50,5,""))))))</f>
        <v>2</v>
      </c>
      <c r="S32" s="217" t="n">
        <f aca="false">IF(ISERROR(R32*I32),0,R32*I32)</f>
        <v>0</v>
      </c>
      <c r="T32" s="217" t="n">
        <f aca="false">IF(ISERROR(R32*I32*J32),0,R32*I32*J32)</f>
        <v>0</v>
      </c>
      <c r="U32" s="229" t="n">
        <f aca="false">IF(ISERROR(R32*J32),0,R32*J32)</f>
        <v>0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IF(A32="new.cod","NEWCOD",IF(AND((Z32=""),ISTEXT(A32)),A32,IF(Z32="","",INDEX('[2]liste reference'!$A$8:$A$904,Z32))))</f>
        <v>EGEDEN</v>
      </c>
      <c r="Z32" s="10" t="n">
        <f aca="false">IF(ISERROR(MATCH(A32,'[2]liste reference'!$A$8:$A$904,0)),IF(ISERROR(MATCH(A32,'[2]liste reference'!$B$8:$B$904,0)),"",(MATCH(A32,'[2]liste reference'!$B$8:$B$904,0))),(MATCH(A32,'[2]liste reference'!$A$8:$A$904,0)))</f>
        <v>337</v>
      </c>
      <c r="AA32" s="221"/>
      <c r="AB32" s="222"/>
      <c r="AC32" s="222"/>
      <c r="BB32" s="10" t="n">
        <f aca="false">IF(A32="","",1)</f>
        <v>1</v>
      </c>
    </row>
    <row r="33" customFormat="false" ht="12.75" hidden="false" customHeight="false" outlineLevel="0" collapsed="false">
      <c r="A33" s="223" t="s">
        <v>88</v>
      </c>
      <c r="B33" s="224" t="n">
        <v>0.555555555555556</v>
      </c>
      <c r="C33" s="225" t="n">
        <v>1.33542787286064</v>
      </c>
      <c r="D33" s="207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>Elodea nuttalii</v>
      </c>
      <c r="E33" s="226" t="e">
        <f aca="false">IF(D33="",0,VLOOKUP(D33,D$22:D32,1,0))</f>
        <v>#N/A</v>
      </c>
      <c r="F33" s="227" t="n">
        <f aca="false">($B33*$B$7+$C33*$C$7)/100</f>
        <v>0.976686606900299</v>
      </c>
      <c r="G33" s="209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>PHy</v>
      </c>
      <c r="H33" s="210" t="n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7</v>
      </c>
      <c r="I33" s="211" t="n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>8</v>
      </c>
      <c r="J33" s="211" t="n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>2</v>
      </c>
      <c r="K33" s="212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>Elodea nuttalii</v>
      </c>
      <c r="L33" s="228"/>
      <c r="M33" s="228"/>
      <c r="N33" s="228"/>
      <c r="O33" s="214"/>
      <c r="P33" s="215" t="n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>1588</v>
      </c>
      <c r="Q33" s="216" t="n">
        <f aca="false">IF(ISTEXT(H33),"",(B33*$B$7/100)+(C33*$C$7/100))</f>
        <v>0.976686606900299</v>
      </c>
      <c r="R33" s="217" t="n">
        <f aca="false">IF(OR(ISTEXT(H33),Q33=0),"",IF(Q33&lt;0.1,1,IF(Q33&lt;1,2,IF(Q33&lt;10,3,IF(Q33&lt;50,4,IF(Q33&gt;=50,5,""))))))</f>
        <v>2</v>
      </c>
      <c r="S33" s="217" t="n">
        <f aca="false">IF(ISERROR(R33*I33),0,R33*I33)</f>
        <v>16</v>
      </c>
      <c r="T33" s="217" t="n">
        <f aca="false">IF(ISERROR(R33*I33*J33),0,R33*I33*J33)</f>
        <v>32</v>
      </c>
      <c r="U33" s="229" t="n">
        <f aca="false">IF(ISERROR(R33*J33),0,R33*J33)</f>
        <v>4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IF(A33="new.cod","NEWCOD",IF(AND((Z33=""),ISTEXT(A33)),A33,IF(Z33="","",INDEX('[2]liste reference'!$A$8:$A$904,Z33))))</f>
        <v>ELONUT</v>
      </c>
      <c r="Z33" s="10" t="n">
        <f aca="false">IF(ISERROR(MATCH(A33,'[2]liste reference'!$A$8:$A$904,0)),IF(ISERROR(MATCH(A33,'[2]liste reference'!$B$8:$B$904,0)),"",(MATCH(A33,'[2]liste reference'!$B$8:$B$904,0))),(MATCH(A33,'[2]liste reference'!$A$8:$A$904,0)))</f>
        <v>343</v>
      </c>
      <c r="AA33" s="221"/>
      <c r="AB33" s="222"/>
      <c r="AC33" s="222"/>
      <c r="BB33" s="10" t="n">
        <f aca="false">IF(A33="","",1)</f>
        <v>1</v>
      </c>
    </row>
    <row r="34" customFormat="false" ht="12.75" hidden="false" customHeight="false" outlineLevel="0" collapsed="false">
      <c r="A34" s="223" t="s">
        <v>89</v>
      </c>
      <c r="B34" s="224" t="n">
        <v>0</v>
      </c>
      <c r="C34" s="225" t="n">
        <v>7.4841075794621</v>
      </c>
      <c r="D34" s="207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>Lemna minor</v>
      </c>
      <c r="E34" s="226" t="e">
        <f aca="false">IF(D34="",0,VLOOKUP(D34,D$22:D33,1,0))</f>
        <v>#N/A</v>
      </c>
      <c r="F34" s="231" t="n">
        <f aca="false">($B34*$B$7+$C34*$C$7)/100</f>
        <v>4.04141809290953</v>
      </c>
      <c r="G34" s="209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>PHy</v>
      </c>
      <c r="H34" s="210" t="n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7</v>
      </c>
      <c r="I34" s="211" t="n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>10</v>
      </c>
      <c r="J34" s="211" t="n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>1</v>
      </c>
      <c r="K34" s="212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>Lemna minor</v>
      </c>
      <c r="L34" s="228"/>
      <c r="M34" s="228"/>
      <c r="N34" s="228"/>
      <c r="O34" s="214"/>
      <c r="P34" s="215" t="n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>1626</v>
      </c>
      <c r="Q34" s="216" t="n">
        <f aca="false">IF(ISTEXT(H34),"",(B34*$B$7/100)+(C34*$C$7/100))</f>
        <v>4.04141809290953</v>
      </c>
      <c r="R34" s="217" t="n">
        <f aca="false">IF(OR(ISTEXT(H34),Q34=0),"",IF(Q34&lt;0.1,1,IF(Q34&lt;1,2,IF(Q34&lt;10,3,IF(Q34&lt;50,4,IF(Q34&gt;=50,5,""))))))</f>
        <v>3</v>
      </c>
      <c r="S34" s="217" t="n">
        <f aca="false">IF(ISERROR(R34*I34),0,R34*I34)</f>
        <v>30</v>
      </c>
      <c r="T34" s="217" t="n">
        <f aca="false">IF(ISERROR(R34*I34*J34),0,R34*I34*J34)</f>
        <v>30</v>
      </c>
      <c r="U34" s="229" t="n">
        <f aca="false">IF(ISERROR(R34*J34),0,R34*J34)</f>
        <v>3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IF(A34="new.cod","NEWCOD",IF(AND((Z34=""),ISTEXT(A34)),A34,IF(Z34="","",INDEX('[2]liste reference'!$A$8:$A$904,Z34))))</f>
        <v>LEMMIN</v>
      </c>
      <c r="Z34" s="10" t="n">
        <f aca="false">IF(ISERROR(MATCH(A34,'[2]liste reference'!$A$8:$A$904,0)),IF(ISERROR(MATCH(A34,'[2]liste reference'!$B$8:$B$904,0)),"",(MATCH(A34,'[2]liste reference'!$B$8:$B$904,0))),(MATCH(A34,'[2]liste reference'!$A$8:$A$904,0)))</f>
        <v>357</v>
      </c>
      <c r="AA34" s="221"/>
      <c r="AB34" s="222"/>
      <c r="AC34" s="222"/>
      <c r="BB34" s="10" t="n">
        <f aca="false">IF(A34="","",1)</f>
        <v>1</v>
      </c>
    </row>
    <row r="35" customFormat="false" ht="12.75" hidden="false" customHeight="false" outlineLevel="0" collapsed="false">
      <c r="A35" s="223" t="s">
        <v>16</v>
      </c>
      <c r="B35" s="224" t="n">
        <v>11.4444444444444</v>
      </c>
      <c r="C35" s="225" t="n">
        <v>13.8728606356968</v>
      </c>
      <c r="D35" s="207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>Myriophyllum spicatum</v>
      </c>
      <c r="E35" s="226" t="e">
        <f aca="false">IF(D35="",0,VLOOKUP(D35,D$22:D34,1,0))</f>
        <v>#N/A</v>
      </c>
      <c r="F35" s="231" t="n">
        <f aca="false">($B35*$B$7+$C35*$C$7)/100</f>
        <v>12.7557891877207</v>
      </c>
      <c r="G35" s="209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>PHy</v>
      </c>
      <c r="H35" s="210" t="n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7</v>
      </c>
      <c r="I35" s="211" t="n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>8</v>
      </c>
      <c r="J35" s="211" t="n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>2</v>
      </c>
      <c r="K35" s="212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>Myriophyllum spicatum</v>
      </c>
      <c r="L35" s="228"/>
      <c r="M35" s="228"/>
      <c r="N35" s="228"/>
      <c r="O35" s="214"/>
      <c r="P35" s="215" t="n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>1778</v>
      </c>
      <c r="Q35" s="216" t="n">
        <f aca="false">IF(ISTEXT(H35),"",(B35*$B$7/100)+(C35*$C$7/100))</f>
        <v>12.7557891877207</v>
      </c>
      <c r="R35" s="217" t="n">
        <f aca="false">IF(OR(ISTEXT(H35),Q35=0),"",IF(Q35&lt;0.1,1,IF(Q35&lt;1,2,IF(Q35&lt;10,3,IF(Q35&lt;50,4,IF(Q35&gt;=50,5,""))))))</f>
        <v>4</v>
      </c>
      <c r="S35" s="217" t="n">
        <f aca="false">IF(ISERROR(R35*I35),0,R35*I35)</f>
        <v>32</v>
      </c>
      <c r="T35" s="217" t="n">
        <f aca="false">IF(ISERROR(R35*I35*J35),0,R35*I35*J35)</f>
        <v>64</v>
      </c>
      <c r="U35" s="229" t="n">
        <f aca="false">IF(ISERROR(R35*J35),0,R35*J35)</f>
        <v>8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IF(A35="new.cod","NEWCOD",IF(AND((Z35=""),ISTEXT(A35)),A35,IF(Z35="","",INDEX('[2]liste reference'!$A$8:$A$904,Z35))))</f>
        <v>MYRSPI</v>
      </c>
      <c r="Z35" s="10" t="n">
        <f aca="false">IF(ISERROR(MATCH(A35,'[2]liste reference'!$A$8:$A$904,0)),IF(ISERROR(MATCH(A35,'[2]liste reference'!$B$8:$B$904,0)),"",(MATCH(A35,'[2]liste reference'!$B$8:$B$904,0))),(MATCH(A35,'[2]liste reference'!$A$8:$A$904,0)))</f>
        <v>373</v>
      </c>
      <c r="AA35" s="221"/>
      <c r="AB35" s="222"/>
      <c r="AC35" s="222"/>
      <c r="BB35" s="10" t="n">
        <f aca="false">IF(A35="","",1)</f>
        <v>1</v>
      </c>
    </row>
    <row r="36" customFormat="false" ht="12.75" hidden="false" customHeight="false" outlineLevel="0" collapsed="false">
      <c r="A36" s="223" t="s">
        <v>90</v>
      </c>
      <c r="B36" s="224" t="n">
        <v>1.77777777777778</v>
      </c>
      <c r="C36" s="225" t="n">
        <v>6.86552567237164</v>
      </c>
      <c r="D36" s="207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>Najas marina</v>
      </c>
      <c r="E36" s="226" t="e">
        <f aca="false">IF(D36="",0,VLOOKUP(D36,D$22:D35,1,0))</f>
        <v>#N/A</v>
      </c>
      <c r="F36" s="231" t="n">
        <f aca="false">($B36*$B$7+$C36*$C$7)/100</f>
        <v>4.52516164085846</v>
      </c>
      <c r="G36" s="209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>PHy</v>
      </c>
      <c r="H36" s="210" t="n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7</v>
      </c>
      <c r="I36" s="211" t="n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>5</v>
      </c>
      <c r="J36" s="211" t="n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>3</v>
      </c>
      <c r="K36" s="212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>Najas marina</v>
      </c>
      <c r="L36" s="228"/>
      <c r="M36" s="228"/>
      <c r="N36" s="228"/>
      <c r="O36" s="214"/>
      <c r="P36" s="215" t="n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>1835</v>
      </c>
      <c r="Q36" s="216" t="n">
        <f aca="false">IF(ISTEXT(H36),"",(B36*$B$7/100)+(C36*$C$7/100))</f>
        <v>4.52516164085846</v>
      </c>
      <c r="R36" s="217" t="n">
        <f aca="false">IF(OR(ISTEXT(H36),Q36=0),"",IF(Q36&lt;0.1,1,IF(Q36&lt;1,2,IF(Q36&lt;10,3,IF(Q36&lt;50,4,IF(Q36&gt;=50,5,""))))))</f>
        <v>3</v>
      </c>
      <c r="S36" s="217" t="n">
        <f aca="false">IF(ISERROR(R36*I36),0,R36*I36)</f>
        <v>15</v>
      </c>
      <c r="T36" s="217" t="n">
        <f aca="false">IF(ISERROR(R36*I36*J36),0,R36*I36*J36)</f>
        <v>45</v>
      </c>
      <c r="U36" s="229" t="n">
        <f aca="false">IF(ISERROR(R36*J36),0,R36*J36)</f>
        <v>9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IF(A36="new.cod","NEWCOD",IF(AND((Z36=""),ISTEXT(A36)),A36,IF(Z36="","",INDEX('[2]liste reference'!$A$8:$A$904,Z36))))</f>
        <v>NAJMAR</v>
      </c>
      <c r="Z36" s="10" t="n">
        <f aca="false">IF(ISERROR(MATCH(A36,'[2]liste reference'!$A$8:$A$904,0)),IF(ISERROR(MATCH(A36,'[2]liste reference'!$B$8:$B$904,0)),"",(MATCH(A36,'[2]liste reference'!$B$8:$B$904,0))),(MATCH(A36,'[2]liste reference'!$A$8:$A$904,0)))</f>
        <v>379</v>
      </c>
      <c r="AA36" s="221"/>
      <c r="AB36" s="222"/>
      <c r="AC36" s="222"/>
      <c r="BB36" s="10" t="n">
        <f aca="false">IF(A36="","",1)</f>
        <v>1</v>
      </c>
    </row>
    <row r="37" customFormat="false" ht="12.75" hidden="false" customHeight="false" outlineLevel="0" collapsed="false">
      <c r="A37" s="223" t="s">
        <v>91</v>
      </c>
      <c r="B37" s="224" t="n">
        <v>0</v>
      </c>
      <c r="C37" s="225" t="n">
        <v>0.000464547677261614</v>
      </c>
      <c r="D37" s="207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>Nuphar lutea</v>
      </c>
      <c r="E37" s="226" t="e">
        <f aca="false">IF(D37="",0,VLOOKUP(D37,D$22:D36,1,0))</f>
        <v>#N/A</v>
      </c>
      <c r="F37" s="231" t="n">
        <f aca="false">($B37*$B$7+$C37*$C$7)/100</f>
        <v>0.000250855745721271</v>
      </c>
      <c r="G37" s="209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>PHy</v>
      </c>
      <c r="H37" s="210" t="n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7</v>
      </c>
      <c r="I37" s="211" t="n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>9</v>
      </c>
      <c r="J37" s="211" t="n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>1</v>
      </c>
      <c r="K37" s="212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>Nuphar lutea</v>
      </c>
      <c r="L37" s="228"/>
      <c r="M37" s="228"/>
      <c r="N37" s="228"/>
      <c r="O37" s="214"/>
      <c r="P37" s="215" t="n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>1839</v>
      </c>
      <c r="Q37" s="216" t="n">
        <f aca="false">IF(ISTEXT(H37),"",(B37*$B$7/100)+(C37*$C$7/100))</f>
        <v>0.000250855745721271</v>
      </c>
      <c r="R37" s="217" t="n">
        <f aca="false">IF(OR(ISTEXT(H37),Q37=0),"",IF(Q37&lt;0.1,1,IF(Q37&lt;1,2,IF(Q37&lt;10,3,IF(Q37&lt;50,4,IF(Q37&gt;=50,5,""))))))</f>
        <v>1</v>
      </c>
      <c r="S37" s="217" t="n">
        <f aca="false">IF(ISERROR(R37*I37),0,R37*I37)</f>
        <v>9</v>
      </c>
      <c r="T37" s="217" t="n">
        <f aca="false">IF(ISERROR(R37*I37*J37),0,R37*I37*J37)</f>
        <v>9</v>
      </c>
      <c r="U37" s="229" t="n">
        <f aca="false">IF(ISERROR(R37*J37),0,R37*J37)</f>
        <v>1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IF(A37="new.cod","NEWCOD",IF(AND((Z37=""),ISTEXT(A37)),A37,IF(Z37="","",INDEX('[2]liste reference'!$A$8:$A$904,Z37))))</f>
        <v>NUPLUT</v>
      </c>
      <c r="Z37" s="10" t="n">
        <f aca="false">IF(ISERROR(MATCH(A37,'[2]liste reference'!$A$8:$A$904,0)),IF(ISERROR(MATCH(A37,'[2]liste reference'!$B$8:$B$904,0)),"",(MATCH(A37,'[2]liste reference'!$B$8:$B$904,0))),(MATCH(A37,'[2]liste reference'!$A$8:$A$904,0)))</f>
        <v>389</v>
      </c>
      <c r="AA37" s="221"/>
      <c r="AB37" s="222"/>
      <c r="AC37" s="222"/>
      <c r="BB37" s="10" t="n">
        <f aca="false">IF(A37="","",1)</f>
        <v>1</v>
      </c>
    </row>
    <row r="38" customFormat="false" ht="12.75" hidden="false" customHeight="false" outlineLevel="0" collapsed="false">
      <c r="A38" s="223" t="s">
        <v>92</v>
      </c>
      <c r="B38" s="224" t="n">
        <v>3.44444444444445</v>
      </c>
      <c r="C38" s="225" t="n">
        <v>4.57457212713936</v>
      </c>
      <c r="D38" s="207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>Potamogeton nodosus</v>
      </c>
      <c r="E38" s="226" t="e">
        <f aca="false">IF(D38="",0,VLOOKUP(D38,D$22:D37,1,0))</f>
        <v>#N/A</v>
      </c>
      <c r="F38" s="231" t="n">
        <f aca="false">($B38*$B$7+$C38*$C$7)/100</f>
        <v>4.0547133930997</v>
      </c>
      <c r="G38" s="209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>PHy</v>
      </c>
      <c r="H38" s="210" t="n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7</v>
      </c>
      <c r="I38" s="211" t="n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>4</v>
      </c>
      <c r="J38" s="211" t="n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>3</v>
      </c>
      <c r="K38" s="212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>Potamogeton nodosus</v>
      </c>
      <c r="L38" s="228"/>
      <c r="M38" s="228"/>
      <c r="N38" s="228"/>
      <c r="O38" s="214"/>
      <c r="P38" s="215" t="n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>1652</v>
      </c>
      <c r="Q38" s="216" t="n">
        <f aca="false">IF(ISTEXT(H38),"",(B38*$B$7/100)+(C38*$C$7/100))</f>
        <v>4.0547133930997</v>
      </c>
      <c r="R38" s="217" t="n">
        <f aca="false">IF(OR(ISTEXT(H38),Q38=0),"",IF(Q38&lt;0.1,1,IF(Q38&lt;1,2,IF(Q38&lt;10,3,IF(Q38&lt;50,4,IF(Q38&gt;=50,5,""))))))</f>
        <v>3</v>
      </c>
      <c r="S38" s="217" t="n">
        <f aca="false">IF(ISERROR(R38*I38),0,R38*I38)</f>
        <v>12</v>
      </c>
      <c r="T38" s="217" t="n">
        <f aca="false">IF(ISERROR(R38*I38*J38),0,R38*I38*J38)</f>
        <v>36</v>
      </c>
      <c r="U38" s="229" t="n">
        <f aca="false">IF(ISERROR(R38*J38),0,R38*J38)</f>
        <v>9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IF(A38="new.cod","NEWCOD",IF(AND((Z38=""),ISTEXT(A38)),A38,IF(Z38="","",INDEX('[2]liste reference'!$A$8:$A$904,Z38))))</f>
        <v>POTNOD</v>
      </c>
      <c r="Z38" s="10" t="n">
        <f aca="false">IF(ISERROR(MATCH(A38,'[2]liste reference'!$A$8:$A$904,0)),IF(ISERROR(MATCH(A38,'[2]liste reference'!$B$8:$B$904,0)),"",(MATCH(A38,'[2]liste reference'!$B$8:$B$904,0))),(MATCH(A38,'[2]liste reference'!$A$8:$A$904,0)))</f>
        <v>418</v>
      </c>
      <c r="AA38" s="221"/>
      <c r="AB38" s="222"/>
      <c r="AC38" s="222"/>
      <c r="BB38" s="10" t="n">
        <f aca="false">IF(A38="","",1)</f>
        <v>1</v>
      </c>
    </row>
    <row r="39" customFormat="false" ht="12.75" hidden="false" customHeight="false" outlineLevel="0" collapsed="false">
      <c r="A39" s="223" t="s">
        <v>93</v>
      </c>
      <c r="B39" s="224" t="n">
        <v>0.555555555555556</v>
      </c>
      <c r="C39" s="225" t="n">
        <v>0.286528117359413</v>
      </c>
      <c r="D39" s="207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>Potamogeton pectinatus</v>
      </c>
      <c r="E39" s="226" t="e">
        <f aca="false">IF(D39="",0,VLOOKUP(D39,D$22:D38,1,0))</f>
        <v>#N/A</v>
      </c>
      <c r="F39" s="231" t="n">
        <f aca="false">($B39*$B$7+$C39*$C$7)/100</f>
        <v>0.410280738929639</v>
      </c>
      <c r="G39" s="209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>PHy</v>
      </c>
      <c r="H39" s="210" t="n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7</v>
      </c>
      <c r="I39" s="211" t="n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>2</v>
      </c>
      <c r="J39" s="211" t="n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>2</v>
      </c>
      <c r="K39" s="212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>Potamogeton pectinatus</v>
      </c>
      <c r="L39" s="228"/>
      <c r="M39" s="228"/>
      <c r="N39" s="228"/>
      <c r="O39" s="214"/>
      <c r="P39" s="215" t="n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>1655</v>
      </c>
      <c r="Q39" s="216" t="n">
        <f aca="false">IF(ISTEXT(H39),"",(B39*$B$7/100)+(C39*$C$7/100))</f>
        <v>0.410280738929639</v>
      </c>
      <c r="R39" s="217" t="n">
        <f aca="false">IF(OR(ISTEXT(H39),Q39=0),"",IF(Q39&lt;0.1,1,IF(Q39&lt;1,2,IF(Q39&lt;10,3,IF(Q39&lt;50,4,IF(Q39&gt;=50,5,""))))))</f>
        <v>2</v>
      </c>
      <c r="S39" s="217" t="n">
        <f aca="false">IF(ISERROR(R39*I39),0,R39*I39)</f>
        <v>4</v>
      </c>
      <c r="T39" s="217" t="n">
        <f aca="false">IF(ISERROR(R39*I39*J39),0,R39*I39*J39)</f>
        <v>8</v>
      </c>
      <c r="U39" s="229" t="n">
        <f aca="false">IF(ISERROR(R39*J39),0,R39*J39)</f>
        <v>4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IF(A39="new.cod","NEWCOD",IF(AND((Z39=""),ISTEXT(A39)),A39,IF(Z39="","",INDEX('[2]liste reference'!$A$8:$A$904,Z39))))</f>
        <v>POTPEC</v>
      </c>
      <c r="Z39" s="10" t="n">
        <f aca="false">IF(ISERROR(MATCH(A39,'[2]liste reference'!$A$8:$A$904,0)),IF(ISERROR(MATCH(A39,'[2]liste reference'!$B$8:$B$904,0)),"",(MATCH(A39,'[2]liste reference'!$B$8:$B$904,0))),(MATCH(A39,'[2]liste reference'!$A$8:$A$904,0)))</f>
        <v>421</v>
      </c>
      <c r="AA39" s="221"/>
      <c r="AB39" s="222"/>
      <c r="AC39" s="222"/>
      <c r="BB39" s="10" t="n">
        <f aca="false">IF(A39="","",1)</f>
        <v>1</v>
      </c>
    </row>
    <row r="40" customFormat="false" ht="12.75" hidden="false" customHeight="false" outlineLevel="0" collapsed="false">
      <c r="A40" s="223" t="s">
        <v>94</v>
      </c>
      <c r="B40" s="224" t="n">
        <v>1.11111111111111</v>
      </c>
      <c r="C40" s="225" t="n">
        <v>6.10268948655257</v>
      </c>
      <c r="D40" s="207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>Potamogeton perfoliatus</v>
      </c>
      <c r="E40" s="226" t="e">
        <f aca="false">IF(D40="",0,VLOOKUP(D40,D$22:D39,1,0))</f>
        <v>#N/A</v>
      </c>
      <c r="F40" s="231" t="n">
        <f aca="false">($B40*$B$7+$C40*$C$7)/100</f>
        <v>3.8065634338495</v>
      </c>
      <c r="G40" s="209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>PHy</v>
      </c>
      <c r="H40" s="210" t="n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7</v>
      </c>
      <c r="I40" s="211" t="n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>9</v>
      </c>
      <c r="J40" s="211" t="n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>2</v>
      </c>
      <c r="K40" s="212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>Potamogeton perfoliatus</v>
      </c>
      <c r="L40" s="228"/>
      <c r="M40" s="228"/>
      <c r="N40" s="228"/>
      <c r="O40" s="214"/>
      <c r="P40" s="215" t="n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>1656</v>
      </c>
      <c r="Q40" s="216" t="n">
        <f aca="false">IF(ISTEXT(H40),"",(B40*$B$7/100)+(C40*$C$7/100))</f>
        <v>3.8065634338495</v>
      </c>
      <c r="R40" s="217" t="n">
        <f aca="false">IF(OR(ISTEXT(H40),Q40=0),"",IF(Q40&lt;0.1,1,IF(Q40&lt;1,2,IF(Q40&lt;10,3,IF(Q40&lt;50,4,IF(Q40&gt;=50,5,""))))))</f>
        <v>3</v>
      </c>
      <c r="S40" s="217" t="n">
        <f aca="false">IF(ISERROR(R40*I40),0,R40*I40)</f>
        <v>27</v>
      </c>
      <c r="T40" s="217" t="n">
        <f aca="false">IF(ISERROR(R40*I40*J40),0,R40*I40*J40)</f>
        <v>54</v>
      </c>
      <c r="U40" s="229" t="n">
        <f aca="false">IF(ISERROR(R40*J40),0,R40*J40)</f>
        <v>6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IF(A40="new.cod","NEWCOD",IF(AND((Z40=""),ISTEXT(A40)),A40,IF(Z40="","",INDEX('[2]liste reference'!$A$8:$A$904,Z40))))</f>
        <v>POTPER</v>
      </c>
      <c r="Z40" s="10" t="n">
        <f aca="false">IF(ISERROR(MATCH(A40,'[2]liste reference'!$A$8:$A$904,0)),IF(ISERROR(MATCH(A40,'[2]liste reference'!$B$8:$B$904,0)),"",(MATCH(A40,'[2]liste reference'!$B$8:$B$904,0))),(MATCH(A40,'[2]liste reference'!$A$8:$A$904,0)))</f>
        <v>422</v>
      </c>
      <c r="AA40" s="221"/>
      <c r="AB40" s="222"/>
      <c r="AC40" s="222"/>
      <c r="BB40" s="10" t="n">
        <f aca="false">IF(A40="","",1)</f>
        <v>1</v>
      </c>
    </row>
    <row r="41" customFormat="false" ht="12.75" hidden="false" customHeight="false" outlineLevel="0" collapsed="false">
      <c r="A41" s="223" t="s">
        <v>95</v>
      </c>
      <c r="B41" s="224" t="n">
        <v>7.33333333333333</v>
      </c>
      <c r="C41" s="225" t="n">
        <v>14.158924205379</v>
      </c>
      <c r="D41" s="207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>Sparganium emersum fo. Longissimum</v>
      </c>
      <c r="E41" s="226" t="e">
        <f aca="false">IF(D41="",0,VLOOKUP(D41,D$22:D40,1,0))</f>
        <v>#N/A</v>
      </c>
      <c r="F41" s="231" t="n">
        <f aca="false">($B41*$B$7+$C41*$C$7)/100</f>
        <v>11.019152404238</v>
      </c>
      <c r="G41" s="209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>PHy</v>
      </c>
      <c r="H41" s="210" t="n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7</v>
      </c>
      <c r="I41" s="211" t="n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>7</v>
      </c>
      <c r="J41" s="211" t="n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>1</v>
      </c>
      <c r="K41" s="212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>Sparganium emersum fo. Longissimum</v>
      </c>
      <c r="L41" s="228"/>
      <c r="M41" s="228"/>
      <c r="N41" s="228"/>
      <c r="O41" s="214"/>
      <c r="P41" s="215" t="n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>19695</v>
      </c>
      <c r="Q41" s="216" t="n">
        <f aca="false">IF(ISTEXT(H41),"",(B41*$B$7/100)+(C41*$C$7/100))</f>
        <v>11.019152404238</v>
      </c>
      <c r="R41" s="217" t="n">
        <f aca="false">IF(OR(ISTEXT(H41),Q41=0),"",IF(Q41&lt;0.1,1,IF(Q41&lt;1,2,IF(Q41&lt;10,3,IF(Q41&lt;50,4,IF(Q41&gt;=50,5,""))))))</f>
        <v>4</v>
      </c>
      <c r="S41" s="217" t="n">
        <f aca="false">IF(ISERROR(R41*I41),0,R41*I41)</f>
        <v>28</v>
      </c>
      <c r="T41" s="217" t="n">
        <f aca="false">IF(ISERROR(R41*I41*J41),0,R41*I41*J41)</f>
        <v>28</v>
      </c>
      <c r="U41" s="229" t="n">
        <f aca="false">IF(ISERROR(R41*J41),0,R41*J41)</f>
        <v>4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IF(A41="new.cod","NEWCOD",IF(AND((Z41=""),ISTEXT(A41)),A41,IF(Z41="","",INDEX('[2]liste reference'!$A$8:$A$904,Z41))))</f>
        <v>SPAEML</v>
      </c>
      <c r="Z41" s="10" t="n">
        <f aca="false">IF(ISERROR(MATCH(A41,'[2]liste reference'!$A$8:$A$904,0)),IF(ISERROR(MATCH(A41,'[2]liste reference'!$B$8:$B$904,0)),"",(MATCH(A41,'[2]liste reference'!$B$8:$B$904,0))),(MATCH(A41,'[2]liste reference'!$A$8:$A$904,0)))</f>
        <v>482</v>
      </c>
      <c r="AA41" s="221"/>
      <c r="AB41" s="222"/>
      <c r="AC41" s="222"/>
      <c r="BB41" s="10" t="n">
        <f aca="false">IF(A41="","",1)</f>
        <v>1</v>
      </c>
    </row>
    <row r="42" customFormat="false" ht="12.75" hidden="false" customHeight="false" outlineLevel="0" collapsed="false">
      <c r="A42" s="223" t="s">
        <v>96</v>
      </c>
      <c r="B42" s="224" t="n">
        <v>0</v>
      </c>
      <c r="C42" s="225" t="n">
        <v>4.74327628361858</v>
      </c>
      <c r="D42" s="207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>Spirodela polyrhiza</v>
      </c>
      <c r="E42" s="226" t="e">
        <f aca="false">IF(D42="",0,VLOOKUP(D42,D$22:D41,1,0))</f>
        <v>#N/A</v>
      </c>
      <c r="F42" s="231" t="n">
        <f aca="false">($B42*$B$7+$C42*$C$7)/100</f>
        <v>2.56136919315403</v>
      </c>
      <c r="G42" s="209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>PHy</v>
      </c>
      <c r="H42" s="210" t="n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7</v>
      </c>
      <c r="I42" s="211" t="n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>6</v>
      </c>
      <c r="J42" s="211" t="n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>2</v>
      </c>
      <c r="K42" s="212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>Spirodela polyrhiza</v>
      </c>
      <c r="L42" s="228"/>
      <c r="M42" s="228"/>
      <c r="N42" s="228"/>
      <c r="O42" s="214"/>
      <c r="P42" s="215" t="n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>1630</v>
      </c>
      <c r="Q42" s="216" t="n">
        <f aca="false">IF(ISTEXT(H42),"",(B42*$B$7/100)+(C42*$C$7/100))</f>
        <v>2.56136919315403</v>
      </c>
      <c r="R42" s="217" t="n">
        <f aca="false">IF(OR(ISTEXT(H42),Q42=0),"",IF(Q42&lt;0.1,1,IF(Q42&lt;1,2,IF(Q42&lt;10,3,IF(Q42&lt;50,4,IF(Q42&gt;=50,5,""))))))</f>
        <v>3</v>
      </c>
      <c r="S42" s="217" t="n">
        <f aca="false">IF(ISERROR(R42*I42),0,R42*I42)</f>
        <v>18</v>
      </c>
      <c r="T42" s="217" t="n">
        <f aca="false">IF(ISERROR(R42*I42*J42),0,R42*I42*J42)</f>
        <v>36</v>
      </c>
      <c r="U42" s="229" t="n">
        <f aca="false">IF(ISERROR(R42*J42),0,R42*J42)</f>
        <v>6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IF(A42="new.cod","NEWCOD",IF(AND((Z42=""),ISTEXT(A42)),A42,IF(Z42="","",INDEX('[2]liste reference'!$A$8:$A$904,Z42))))</f>
        <v>SPRPOL</v>
      </c>
      <c r="Z42" s="10" t="n">
        <f aca="false">IF(ISERROR(MATCH(A42,'[2]liste reference'!$A$8:$A$904,0)),IF(ISERROR(MATCH(A42,'[2]liste reference'!$B$8:$B$904,0)),"",(MATCH(A42,'[2]liste reference'!$B$8:$B$904,0))),(MATCH(A42,'[2]liste reference'!$A$8:$A$904,0)))</f>
        <v>485</v>
      </c>
      <c r="AA42" s="221"/>
      <c r="AB42" s="222"/>
      <c r="AC42" s="222"/>
      <c r="BB42" s="10" t="n">
        <f aca="false">IF(A42="","",1)</f>
        <v>1</v>
      </c>
    </row>
    <row r="43" customFormat="false" ht="12.75" hidden="false" customHeight="false" outlineLevel="0" collapsed="false">
      <c r="A43" s="223" t="s">
        <v>97</v>
      </c>
      <c r="B43" s="224" t="n">
        <v>0</v>
      </c>
      <c r="C43" s="225" t="n">
        <v>0.000464547677261614</v>
      </c>
      <c r="D43" s="207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>Carex sp.</v>
      </c>
      <c r="E43" s="226" t="e">
        <f aca="false">IF(D43="",0,VLOOKUP(D43,D$22:D42,1,0))</f>
        <v>#N/A</v>
      </c>
      <c r="F43" s="231" t="n">
        <f aca="false">($B43*$B$7+$C43*$C$7)/100</f>
        <v>0.000250855745721271</v>
      </c>
      <c r="G43" s="209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>PHe</v>
      </c>
      <c r="H43" s="210" t="n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8</v>
      </c>
      <c r="I43" s="211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1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2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>Carex sp.</v>
      </c>
      <c r="L43" s="228"/>
      <c r="M43" s="228"/>
      <c r="N43" s="228"/>
      <c r="O43" s="214"/>
      <c r="P43" s="215" t="n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>1466</v>
      </c>
      <c r="Q43" s="216" t="n">
        <f aca="false">IF(ISTEXT(H43),"",(B43*$B$7/100)+(C43*$C$7/100))</f>
        <v>0.000250855745721271</v>
      </c>
      <c r="R43" s="217" t="n">
        <f aca="false">IF(OR(ISTEXT(H43),Q43=0),"",IF(Q43&lt;0.1,1,IF(Q43&lt;1,2,IF(Q43&lt;10,3,IF(Q43&lt;50,4,IF(Q43&gt;=50,5,""))))))</f>
        <v>1</v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IF(A43="new.cod","NEWCOD",IF(AND((Z43=""),ISTEXT(A43)),A43,IF(Z43="","",INDEX('[2]liste reference'!$A$8:$A$904,Z43))))</f>
        <v>CARSPX</v>
      </c>
      <c r="Z43" s="10" t="n">
        <f aca="false">IF(ISERROR(MATCH(A43,'[2]liste reference'!$A$8:$A$904,0)),IF(ISERROR(MATCH(A43,'[2]liste reference'!$B$8:$B$904,0)),"",(MATCH(A43,'[2]liste reference'!$B$8:$B$904,0))),(MATCH(A43,'[2]liste reference'!$A$8:$A$904,0)))</f>
        <v>545</v>
      </c>
      <c r="AA43" s="221"/>
      <c r="AB43" s="222"/>
      <c r="AC43" s="222"/>
      <c r="BB43" s="10" t="n">
        <f aca="false">IF(A43="","",1)</f>
        <v>1</v>
      </c>
    </row>
    <row r="44" customFormat="false" ht="12.75" hidden="false" customHeight="false" outlineLevel="0" collapsed="false">
      <c r="A44" s="223" t="s">
        <v>98</v>
      </c>
      <c r="B44" s="224" t="n">
        <v>0</v>
      </c>
      <c r="C44" s="225" t="n">
        <v>0.000464547677261614</v>
      </c>
      <c r="D44" s="207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>Iris pseudacorus</v>
      </c>
      <c r="E44" s="226" t="e">
        <f aca="false">IF(D44="",0,VLOOKUP(D44,D$22:D43,1,0))</f>
        <v>#N/A</v>
      </c>
      <c r="F44" s="231" t="n">
        <f aca="false">($B44*$B$7+$C44*$C$7)/100</f>
        <v>0.000250855745721271</v>
      </c>
      <c r="G44" s="209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>PHe</v>
      </c>
      <c r="H44" s="210" t="n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8</v>
      </c>
      <c r="I44" s="211" t="n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>10</v>
      </c>
      <c r="J44" s="211" t="n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>1</v>
      </c>
      <c r="K44" s="212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>Iris pseudacorus</v>
      </c>
      <c r="L44" s="228"/>
      <c r="M44" s="228"/>
      <c r="N44" s="228"/>
      <c r="O44" s="214"/>
      <c r="P44" s="215" t="n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>1601</v>
      </c>
      <c r="Q44" s="216" t="n">
        <f aca="false">IF(ISTEXT(H44),"",(B44*$B$7/100)+(C44*$C$7/100))</f>
        <v>0.000250855745721271</v>
      </c>
      <c r="R44" s="217" t="n">
        <f aca="false">IF(OR(ISTEXT(H44),Q44=0),"",IF(Q44&lt;0.1,1,IF(Q44&lt;1,2,IF(Q44&lt;10,3,IF(Q44&lt;50,4,IF(Q44&gt;=50,5,""))))))</f>
        <v>1</v>
      </c>
      <c r="S44" s="217" t="n">
        <f aca="false">IF(ISERROR(R44*I44),0,R44*I44)</f>
        <v>10</v>
      </c>
      <c r="T44" s="217" t="n">
        <f aca="false">IF(ISERROR(R44*I44*J44),0,R44*I44*J44)</f>
        <v>10</v>
      </c>
      <c r="U44" s="229" t="n">
        <f aca="false">IF(ISERROR(R44*J44),0,R44*J44)</f>
        <v>1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IF(A44="new.cod","NEWCOD",IF(AND((Z44=""),ISTEXT(A44)),A44,IF(Z44="","",INDEX('[2]liste reference'!$A$8:$A$904,Z44))))</f>
        <v>IRIPSE</v>
      </c>
      <c r="Z44" s="10" t="n">
        <f aca="false">IF(ISERROR(MATCH(A44,'[2]liste reference'!$A$8:$A$904,0)),IF(ISERROR(MATCH(A44,'[2]liste reference'!$B$8:$B$904,0)),"",(MATCH(A44,'[2]liste reference'!$B$8:$B$904,0))),(MATCH(A44,'[2]liste reference'!$A$8:$A$904,0)))</f>
        <v>582</v>
      </c>
      <c r="AA44" s="221"/>
      <c r="AB44" s="222"/>
      <c r="AC44" s="222"/>
      <c r="BB44" s="10" t="n">
        <f aca="false">IF(A44="","",1)</f>
        <v>1</v>
      </c>
    </row>
    <row r="45" customFormat="false" ht="12.75" hidden="false" customHeight="false" outlineLevel="0" collapsed="false">
      <c r="A45" s="223" t="s">
        <v>99</v>
      </c>
      <c r="B45" s="224" t="n">
        <v>0</v>
      </c>
      <c r="C45" s="225" t="n">
        <v>0.000464547677261614</v>
      </c>
      <c r="D45" s="207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>Lythrum salicaria</v>
      </c>
      <c r="E45" s="226" t="e">
        <f aca="false">IF(D45="",0,VLOOKUP(D45,D$22:D44,1,0))</f>
        <v>#N/A</v>
      </c>
      <c r="F45" s="231" t="n">
        <f aca="false">($B45*$B$7+$C45*$C$7)/100</f>
        <v>0.000250855745721271</v>
      </c>
      <c r="G45" s="209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>PHe</v>
      </c>
      <c r="H45" s="210" t="n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8</v>
      </c>
      <c r="I45" s="211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1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2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>Lythrum salicaria</v>
      </c>
      <c r="L45" s="228"/>
      <c r="M45" s="228"/>
      <c r="N45" s="228"/>
      <c r="O45" s="214"/>
      <c r="P45" s="215" t="n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>1823</v>
      </c>
      <c r="Q45" s="216" t="n">
        <f aca="false">IF(ISTEXT(H45),"",(B45*$B$7/100)+(C45*$C$7/100))</f>
        <v>0.000250855745721271</v>
      </c>
      <c r="R45" s="217" t="n">
        <f aca="false">IF(OR(ISTEXT(H45),Q45=0),"",IF(Q45&lt;0.1,1,IF(Q45&lt;1,2,IF(Q45&lt;10,3,IF(Q45&lt;50,4,IF(Q45&gt;=50,5,""))))))</f>
        <v>1</v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IF(A45="new.cod","NEWCOD",IF(AND((Z45=""),ISTEXT(A45)),A45,IF(Z45="","",INDEX('[2]liste reference'!$A$8:$A$904,Z45))))</f>
        <v>LYTSAL</v>
      </c>
      <c r="Z45" s="10" t="n">
        <f aca="false">IF(ISERROR(MATCH(A45,'[2]liste reference'!$A$8:$A$904,0)),IF(ISERROR(MATCH(A45,'[2]liste reference'!$B$8:$B$904,0)),"",(MATCH(A45,'[2]liste reference'!$B$8:$B$904,0))),(MATCH(A45,'[2]liste reference'!$A$8:$A$904,0)))</f>
        <v>605</v>
      </c>
      <c r="AA45" s="221"/>
      <c r="AB45" s="222"/>
      <c r="AC45" s="222"/>
      <c r="BB45" s="10" t="n">
        <f aca="false">IF(A45="","",1)</f>
        <v>1</v>
      </c>
    </row>
    <row r="46" customFormat="false" ht="12.75" hidden="false" customHeight="false" outlineLevel="0" collapsed="false">
      <c r="A46" s="223" t="s">
        <v>100</v>
      </c>
      <c r="B46" s="224" t="n">
        <v>0</v>
      </c>
      <c r="C46" s="225" t="n">
        <v>0.000464547677261614</v>
      </c>
      <c r="D46" s="207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>Phalaris arundinacea</v>
      </c>
      <c r="E46" s="226" t="e">
        <f aca="false">IF(D46="",0,VLOOKUP(D46,D$22:D39,1,0))</f>
        <v>#N/A</v>
      </c>
      <c r="F46" s="231" t="n">
        <f aca="false">($B46*$B$7+$C46*$C$7)/100</f>
        <v>0.000250855745721271</v>
      </c>
      <c r="G46" s="209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>PHe</v>
      </c>
      <c r="H46" s="210" t="n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8</v>
      </c>
      <c r="I46" s="211" t="n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>10</v>
      </c>
      <c r="J46" s="211" t="n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>1</v>
      </c>
      <c r="K46" s="212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>Phalaris arundinacea</v>
      </c>
      <c r="L46" s="228"/>
      <c r="M46" s="228"/>
      <c r="N46" s="228"/>
      <c r="O46" s="214"/>
      <c r="P46" s="215" t="n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>1577</v>
      </c>
      <c r="Q46" s="216" t="n">
        <f aca="false">IF(ISTEXT(H46),"",(B46*$B$7/100)+(C46*$C$7/100))</f>
        <v>0.000250855745721271</v>
      </c>
      <c r="R46" s="217" t="n">
        <f aca="false">IF(OR(ISTEXT(H46),Q46=0),"",IF(Q46&lt;0.1,1,IF(Q46&lt;1,2,IF(Q46&lt;10,3,IF(Q46&lt;50,4,IF(Q46&gt;=50,5,""))))))</f>
        <v>1</v>
      </c>
      <c r="S46" s="217" t="n">
        <f aca="false">IF(ISERROR(R46*I46),0,R46*I46)</f>
        <v>10</v>
      </c>
      <c r="T46" s="217" t="n">
        <f aca="false">IF(ISERROR(R46*I46*J46),0,R46*I46*J46)</f>
        <v>10</v>
      </c>
      <c r="U46" s="229" t="n">
        <f aca="false">IF(ISERROR(R46*J46),0,R46*J46)</f>
        <v>1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IF(A46="new.cod","NEWCOD",IF(AND((Z46=""),ISTEXT(A46)),A46,IF(Z46="","",INDEX('[2]liste reference'!$A$8:$A$904,Z46))))</f>
        <v>PHAARU</v>
      </c>
      <c r="Z46" s="10" t="n">
        <f aca="false">IF(ISERROR(MATCH(A46,'[2]liste reference'!$A$8:$A$904,0)),IF(ISERROR(MATCH(A46,'[2]liste reference'!$B$8:$B$904,0)),"",(MATCH(A46,'[2]liste reference'!$B$8:$B$904,0))),(MATCH(A46,'[2]liste reference'!$A$8:$A$904,0)))</f>
        <v>634</v>
      </c>
      <c r="AA46" s="221"/>
      <c r="AB46" s="222"/>
      <c r="AC46" s="222"/>
      <c r="BB46" s="10" t="n">
        <f aca="false">IF(A46="","",1)</f>
        <v>1</v>
      </c>
    </row>
    <row r="47" customFormat="false" ht="12.75" hidden="false" customHeight="false" outlineLevel="0" collapsed="false">
      <c r="A47" s="223" t="s">
        <v>101</v>
      </c>
      <c r="B47" s="224" t="n">
        <v>0</v>
      </c>
      <c r="C47" s="225" t="n">
        <v>0.464547677261614</v>
      </c>
      <c r="D47" s="207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>Phragmites australis</v>
      </c>
      <c r="E47" s="226" t="e">
        <f aca="false">IF(D47="",0,VLOOKUP(D47,D$22:D39,1,0))</f>
        <v>#N/A</v>
      </c>
      <c r="F47" s="231" t="n">
        <f aca="false">($B47*$B$7+$C47*$C$7)/100</f>
        <v>0.250855745721271</v>
      </c>
      <c r="G47" s="209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>PHe</v>
      </c>
      <c r="H47" s="210" t="n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8</v>
      </c>
      <c r="I47" s="211" t="n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>9</v>
      </c>
      <c r="J47" s="211" t="n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>2</v>
      </c>
      <c r="K47" s="212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>Phragmites australis</v>
      </c>
      <c r="L47" s="228"/>
      <c r="M47" s="228"/>
      <c r="N47" s="228"/>
      <c r="O47" s="214"/>
      <c r="P47" s="215" t="n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>1579</v>
      </c>
      <c r="Q47" s="216" t="n">
        <f aca="false">IF(ISTEXT(H47),"",(B47*$B$7/100)+(C47*$C$7/100))</f>
        <v>0.250855745721271</v>
      </c>
      <c r="R47" s="217" t="n">
        <f aca="false">IF(OR(ISTEXT(H47),Q47=0),"",IF(Q47&lt;0.1,1,IF(Q47&lt;1,2,IF(Q47&lt;10,3,IF(Q47&lt;50,4,IF(Q47&gt;=50,5,""))))))</f>
        <v>2</v>
      </c>
      <c r="S47" s="217" t="n">
        <f aca="false">IF(ISERROR(R47*I47),0,R47*I47)</f>
        <v>18</v>
      </c>
      <c r="T47" s="217" t="n">
        <f aca="false">IF(ISERROR(R47*I47*J47),0,R47*I47*J47)</f>
        <v>36</v>
      </c>
      <c r="U47" s="229" t="n">
        <f aca="false">IF(ISERROR(R47*J47),0,R47*J47)</f>
        <v>4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IF(A47="new.cod","NEWCOD",IF(AND((Z47=""),ISTEXT(A47)),A47,IF(Z47="","",INDEX('[2]liste reference'!$A$8:$A$904,Z47))))</f>
        <v>PHRAUS</v>
      </c>
      <c r="Z47" s="10" t="n">
        <f aca="false">IF(ISERROR(MATCH(A47,'[2]liste reference'!$A$8:$A$904,0)),IF(ISERROR(MATCH(A47,'[2]liste reference'!$B$8:$B$904,0)),"",(MATCH(A47,'[2]liste reference'!$B$8:$B$904,0))),(MATCH(A47,'[2]liste reference'!$A$8:$A$904,0)))</f>
        <v>635</v>
      </c>
      <c r="AA47" s="221"/>
      <c r="AB47" s="222"/>
      <c r="AC47" s="222"/>
      <c r="BB47" s="10" t="n">
        <f aca="false">IF(A47="","",1)</f>
        <v>1</v>
      </c>
    </row>
    <row r="48" customFormat="false" ht="12.75" hidden="false" customHeight="false" outlineLevel="0" collapsed="false">
      <c r="A48" s="223" t="s">
        <v>102</v>
      </c>
      <c r="B48" s="224" t="n">
        <v>0</v>
      </c>
      <c r="C48" s="225" t="n">
        <v>0.000464547677261614</v>
      </c>
      <c r="D48" s="207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>Polygonum hydropiper</v>
      </c>
      <c r="E48" s="226" t="e">
        <f aca="false">IF(D48="",0,VLOOKUP(D48,D$22:D40,1,0))</f>
        <v>#N/A</v>
      </c>
      <c r="F48" s="231" t="n">
        <f aca="false">($B48*$B$7+$C48*$C$7)/100</f>
        <v>0.000250855745721271</v>
      </c>
      <c r="G48" s="209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>PHe</v>
      </c>
      <c r="H48" s="210" t="n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8</v>
      </c>
      <c r="I48" s="211" t="n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>8</v>
      </c>
      <c r="J48" s="211" t="n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>2</v>
      </c>
      <c r="K48" s="212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>Polygonum hydropiper</v>
      </c>
      <c r="L48" s="228"/>
      <c r="M48" s="228"/>
      <c r="N48" s="228"/>
      <c r="O48" s="214"/>
      <c r="P48" s="215" t="n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>1865</v>
      </c>
      <c r="Q48" s="216" t="n">
        <f aca="false">IF(ISTEXT(H48),"",(B48*$B$7/100)+(C48*$C$7/100))</f>
        <v>0.000250855745721271</v>
      </c>
      <c r="R48" s="217" t="n">
        <f aca="false">IF(OR(ISTEXT(H48),Q48=0),"",IF(Q48&lt;0.1,1,IF(Q48&lt;1,2,IF(Q48&lt;10,3,IF(Q48&lt;50,4,IF(Q48&gt;=50,5,""))))))</f>
        <v>1</v>
      </c>
      <c r="S48" s="217" t="n">
        <f aca="false">IF(ISERROR(R48*I48),0,R48*I48)</f>
        <v>8</v>
      </c>
      <c r="T48" s="217" t="n">
        <f aca="false">IF(ISERROR(R48*I48*J48),0,R48*I48*J48)</f>
        <v>16</v>
      </c>
      <c r="U48" s="229" t="n">
        <f aca="false">IF(ISERROR(R48*J48),0,R48*J48)</f>
        <v>2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IF(A48="new.cod","NEWCOD",IF(AND((Z48=""),ISTEXT(A48)),A48,IF(Z48="","",INDEX('[2]liste reference'!$A$8:$A$904,Z48))))</f>
        <v>POLHYD</v>
      </c>
      <c r="Z48" s="10" t="n">
        <f aca="false">IF(ISERROR(MATCH(A48,'[2]liste reference'!$A$8:$A$904,0)),IF(ISERROR(MATCH(A48,'[2]liste reference'!$B$8:$B$904,0)),"",(MATCH(A48,'[2]liste reference'!$B$8:$B$904,0))),(MATCH(A48,'[2]liste reference'!$A$8:$A$904,0)))</f>
        <v>637</v>
      </c>
      <c r="AA48" s="221"/>
      <c r="AB48" s="222"/>
      <c r="AC48" s="222"/>
      <c r="BB48" s="10" t="n">
        <f aca="false">IF(A48="","",1)</f>
        <v>1</v>
      </c>
    </row>
    <row r="49" customFormat="false" ht="12.75" hidden="false" customHeight="false" outlineLevel="0" collapsed="false">
      <c r="A49" s="223" t="s">
        <v>103</v>
      </c>
      <c r="B49" s="224" t="n">
        <v>0</v>
      </c>
      <c r="C49" s="225" t="n">
        <v>0.000464547677261614</v>
      </c>
      <c r="D49" s="207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>Reynoutria japonica</v>
      </c>
      <c r="E49" s="226" t="e">
        <f aca="false">IF(D49="",0,VLOOKUP(D49,D$22:D48,1,0))</f>
        <v>#N/A</v>
      </c>
      <c r="F49" s="231" t="n">
        <f aca="false">($B49*$B$7+$C49*$C$7)/100</f>
        <v>0.000250855745721271</v>
      </c>
      <c r="G49" s="209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>PHe</v>
      </c>
      <c r="H49" s="210" t="n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8</v>
      </c>
      <c r="I49" s="211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1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2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>Reynoutria japonica</v>
      </c>
      <c r="L49" s="228"/>
      <c r="M49" s="228"/>
      <c r="N49" s="228"/>
      <c r="O49" s="214"/>
      <c r="P49" s="215" t="n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>19988</v>
      </c>
      <c r="Q49" s="216" t="n">
        <f aca="false">IF(ISTEXT(H49),"",(B49*$B$7/100)+(C49*$C$7/100))</f>
        <v>0.000250855745721271</v>
      </c>
      <c r="R49" s="217" t="n">
        <f aca="false">IF(OR(ISTEXT(H49),Q49=0),"",IF(Q49&lt;0.1,1,IF(Q49&lt;1,2,IF(Q49&lt;10,3,IF(Q49&lt;50,4,IF(Q49&gt;=50,5,""))))))</f>
        <v>1</v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IF(A49="new.cod","NEWCOD",IF(AND((Z49=""),ISTEXT(A49)),A49,IF(Z49="","",INDEX('[2]liste reference'!$A$8:$A$904,Z49))))</f>
        <v>REYJAP</v>
      </c>
      <c r="Z49" s="10" t="n">
        <f aca="false">IF(ISERROR(MATCH(A49,'[2]liste reference'!$A$8:$A$904,0)),IF(ISERROR(MATCH(A49,'[2]liste reference'!$B$8:$B$904,0)),"",(MATCH(A49,'[2]liste reference'!$B$8:$B$904,0))),(MATCH(A49,'[2]liste reference'!$A$8:$A$904,0)))</f>
        <v>644</v>
      </c>
      <c r="AA49" s="221"/>
      <c r="AB49" s="222"/>
      <c r="AC49" s="222"/>
      <c r="BB49" s="10" t="n">
        <f aca="false">IF(A49="","",1)</f>
        <v>1</v>
      </c>
    </row>
    <row r="50" customFormat="false" ht="12.75" hidden="false" customHeight="false" outlineLevel="0" collapsed="false">
      <c r="A50" s="223" t="s">
        <v>104</v>
      </c>
      <c r="B50" s="224" t="n">
        <v>0</v>
      </c>
      <c r="C50" s="225" t="n">
        <v>0.000464547677261614</v>
      </c>
      <c r="D50" s="207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>Typha latifolia</v>
      </c>
      <c r="E50" s="226" t="e">
        <f aca="false">IF(D50="",0,VLOOKUP(D50,D$22:D49,1,0))</f>
        <v>#N/A</v>
      </c>
      <c r="F50" s="231" t="n">
        <f aca="false">($B50*$B$7+$C50*$C$7)/100</f>
        <v>0.000250855745721271</v>
      </c>
      <c r="G50" s="209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>PHe</v>
      </c>
      <c r="H50" s="210" t="n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8</v>
      </c>
      <c r="I50" s="211" t="n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>8</v>
      </c>
      <c r="J50" s="211" t="n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>1</v>
      </c>
      <c r="K50" s="212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>Typha latifolia</v>
      </c>
      <c r="L50" s="228"/>
      <c r="M50" s="228"/>
      <c r="N50" s="228"/>
      <c r="O50" s="214"/>
      <c r="P50" s="215" t="n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>1676</v>
      </c>
      <c r="Q50" s="216" t="n">
        <f aca="false">IF(ISTEXT(H50),"",(B50*$B$7/100)+(C50*$C$7/100))</f>
        <v>0.000250855745721271</v>
      </c>
      <c r="R50" s="217" t="n">
        <f aca="false">IF(OR(ISTEXT(H50),Q50=0),"",IF(Q50&lt;0.1,1,IF(Q50&lt;1,2,IF(Q50&lt;10,3,IF(Q50&lt;50,4,IF(Q50&gt;=50,5,""))))))</f>
        <v>1</v>
      </c>
      <c r="S50" s="217" t="n">
        <f aca="false">IF(ISERROR(R50*I50),0,R50*I50)</f>
        <v>8</v>
      </c>
      <c r="T50" s="217" t="n">
        <f aca="false">IF(ISERROR(R50*I50*J50),0,R50*I50*J50)</f>
        <v>8</v>
      </c>
      <c r="U50" s="229" t="n">
        <f aca="false">IF(ISERROR(R50*J50),0,R50*J50)</f>
        <v>1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IF(A50="new.cod","NEWCOD",IF(AND((Z50=""),ISTEXT(A50)),A50,IF(Z50="","",INDEX('[2]liste reference'!$A$8:$A$904,Z50))))</f>
        <v>TYPLAT</v>
      </c>
      <c r="Z50" s="10" t="n">
        <f aca="false">IF(ISERROR(MATCH(A50,'[2]liste reference'!$A$8:$A$904,0)),IF(ISERROR(MATCH(A50,'[2]liste reference'!$B$8:$B$904,0)),"",(MATCH(A50,'[2]liste reference'!$B$8:$B$904,0))),(MATCH(A50,'[2]liste reference'!$A$8:$A$904,0)))</f>
        <v>677</v>
      </c>
      <c r="AA50" s="221"/>
      <c r="AB50" s="222"/>
      <c r="AC50" s="222"/>
      <c r="BB50" s="10" t="n">
        <f aca="false">IF(A50="","",1)</f>
        <v>1</v>
      </c>
    </row>
    <row r="51" customFormat="false" ht="12.75" hidden="false" customHeight="false" outlineLevel="0" collapsed="false">
      <c r="A51" s="223" t="s">
        <v>105</v>
      </c>
      <c r="B51" s="224" t="n">
        <v>0</v>
      </c>
      <c r="C51" s="225" t="n">
        <v>0.000464547677261614</v>
      </c>
      <c r="D51" s="207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>Bidens sp.</v>
      </c>
      <c r="E51" s="226" t="e">
        <f aca="false">IF(D51="",0,VLOOKUP(D51,D$22:D50,1,0))</f>
        <v>#N/A</v>
      </c>
      <c r="F51" s="231" t="n">
        <f aca="false">($B51*$B$7+$C51*$C$7)/100</f>
        <v>0.000250855745721271</v>
      </c>
      <c r="G51" s="209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>PHg</v>
      </c>
      <c r="H51" s="210" t="n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9</v>
      </c>
      <c r="I51" s="211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1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2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>Bidens sp.</v>
      </c>
      <c r="L51" s="228"/>
      <c r="M51" s="228"/>
      <c r="N51" s="228"/>
      <c r="O51" s="214"/>
      <c r="P51" s="215" t="n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>1724</v>
      </c>
      <c r="Q51" s="216" t="n">
        <f aca="false">IF(ISTEXT(H51),"",(B51*$B$7/100)+(C51*$C$7/100))</f>
        <v>0.000250855745721271</v>
      </c>
      <c r="R51" s="217" t="n">
        <f aca="false">IF(OR(ISTEXT(H51),Q51=0),"",IF(Q51&lt;0.1,1,IF(Q51&lt;1,2,IF(Q51&lt;10,3,IF(Q51&lt;50,4,IF(Q51&gt;=50,5,""))))))</f>
        <v>1</v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IF(A51="new.cod","NEWCOD",IF(AND((Z51=""),ISTEXT(A51)),A51,IF(Z51="","",INDEX('[2]liste reference'!$A$8:$A$904,Z51))))</f>
        <v>BIDSPX</v>
      </c>
      <c r="Z51" s="10" t="n">
        <f aca="false">IF(ISERROR(MATCH(A51,'[2]liste reference'!$A$8:$A$904,0)),IF(ISERROR(MATCH(A51,'[2]liste reference'!$B$8:$B$904,0)),"",(MATCH(A51,'[2]liste reference'!$B$8:$B$904,0))),(MATCH(A51,'[2]liste reference'!$A$8:$A$904,0)))</f>
        <v>703</v>
      </c>
      <c r="AA51" s="221"/>
      <c r="AB51" s="222"/>
      <c r="AC51" s="222"/>
      <c r="BB51" s="10" t="n">
        <f aca="false">IF(A51="","",1)</f>
        <v>1</v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10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1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1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2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10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1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1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2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10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1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1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2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10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1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1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2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10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1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1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2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10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1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1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2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10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1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1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2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10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1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1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2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10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1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1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2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10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1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1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2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10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1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1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2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6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1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1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2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8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1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1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2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8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1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1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2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8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1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1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2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8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1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1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2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8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1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1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2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8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1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1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2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8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1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1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2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8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1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1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2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8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1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1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2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8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1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1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2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8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1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1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2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8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1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1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2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8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1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1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2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8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1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1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2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8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1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1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2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8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1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1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2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8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1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1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2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8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1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1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2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7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1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1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8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106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RHONE</v>
      </c>
      <c r="B84" s="259" t="str">
        <f aca="false">C3</f>
        <v>RHONE A SERRIERES</v>
      </c>
      <c r="C84" s="260" t="n">
        <f aca="false">A4</f>
        <v>41884</v>
      </c>
      <c r="D84" s="261" t="n">
        <f aca="false">IF(ISERROR(SUM($T$23:$T$82)/SUM($U$23:$U$82)),"",SUM($T$23:$T$82)/SUM($U$23:$U$82))</f>
        <v>6.84313725490196</v>
      </c>
      <c r="E84" s="262" t="n">
        <f aca="false">N13</f>
        <v>29</v>
      </c>
      <c r="F84" s="259" t="n">
        <f aca="false">N14</f>
        <v>24</v>
      </c>
      <c r="G84" s="259" t="n">
        <f aca="false">N15</f>
        <v>9</v>
      </c>
      <c r="H84" s="259" t="n">
        <f aca="false">N16</f>
        <v>12</v>
      </c>
      <c r="I84" s="259" t="n">
        <f aca="false">N17</f>
        <v>3</v>
      </c>
      <c r="J84" s="263" t="n">
        <f aca="false">N8</f>
        <v>7.66666666666667</v>
      </c>
      <c r="K84" s="261" t="n">
        <f aca="false">N9</f>
        <v>2.83823106098773</v>
      </c>
      <c r="L84" s="262" t="n">
        <f aca="false">N10</f>
        <v>2</v>
      </c>
      <c r="M84" s="262" t="n">
        <f aca="false">N11</f>
        <v>13</v>
      </c>
      <c r="N84" s="261" t="n">
        <f aca="false">O8</f>
        <v>1.75</v>
      </c>
      <c r="O84" s="261" t="n">
        <f aca="false">O9</f>
        <v>0.661437827766148</v>
      </c>
      <c r="P84" s="262" t="n">
        <f aca="false">O10</f>
        <v>1</v>
      </c>
      <c r="Q84" s="262" t="n">
        <f aca="false">O11</f>
        <v>3</v>
      </c>
      <c r="R84" s="262" t="n">
        <f aca="false">F21</f>
        <v>67.6969272480304</v>
      </c>
      <c r="S84" s="262" t="n">
        <f aca="false">K11</f>
        <v>0</v>
      </c>
      <c r="T84" s="262" t="n">
        <f aca="false">K12</f>
        <v>6</v>
      </c>
      <c r="U84" s="262" t="n">
        <f aca="false">K13</f>
        <v>0</v>
      </c>
      <c r="V84" s="264" t="n">
        <f aca="false">K14</f>
        <v>0</v>
      </c>
      <c r="W84" s="265" t="n">
        <f aca="false">K15</f>
        <v>23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107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108</v>
      </c>
      <c r="R87" s="10"/>
      <c r="S87" s="218" t="n">
        <f aca="false">VLOOKUP(MAX($S$23:$S$82),($S$23:$U$82),1,0)</f>
        <v>32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109</v>
      </c>
      <c r="R88" s="10"/>
      <c r="S88" s="218" t="n">
        <f aca="false">VLOOKUP((S87),($S$23:$U$82),2,0)</f>
        <v>64</v>
      </c>
      <c r="T88" s="10"/>
      <c r="U88" s="10"/>
      <c r="V88" s="10"/>
    </row>
    <row r="89" customFormat="false" ht="12.75" hidden="true" customHeight="false" outlineLevel="0" collapsed="false">
      <c r="Q89" s="10" t="s">
        <v>110</v>
      </c>
      <c r="R89" s="10"/>
      <c r="S89" s="218" t="n">
        <f aca="false">VLOOKUP((S87),($S$23:$U$82),3,0)</f>
        <v>8</v>
      </c>
      <c r="T89" s="10"/>
    </row>
    <row r="90" customFormat="false" ht="12.75" hidden="false" customHeight="false" outlineLevel="0" collapsed="false">
      <c r="Q90" s="10" t="s">
        <v>111</v>
      </c>
      <c r="R90" s="10"/>
      <c r="S90" s="268" t="n">
        <f aca="false">IF(ISERROR(SUM($T$23:$T$82)/SUM($U$23:$U$82)),"",(SUM($T$23:$T$82)-S88)/(SUM($U$23:$U$82)-S89))</f>
        <v>6.74468085106383</v>
      </c>
      <c r="T90" s="10"/>
    </row>
    <row r="91" customFormat="false" ht="12.75" hidden="false" customHeight="false" outlineLevel="0" collapsed="false">
      <c r="Q91" s="217" t="s">
        <v>112</v>
      </c>
      <c r="R91" s="217"/>
      <c r="S91" s="217" t="str">
        <f aca="false">INDEX('[2]liste reference'!$A$8:$A$904,$T$91)</f>
        <v>MYRSPI</v>
      </c>
      <c r="T91" s="10" t="n">
        <f aca="false">IF(ISERROR(MATCH($S$93,'[2]liste reference'!$A$8:$A$904,0)),MATCH($S$93,'[2]liste reference'!$B$8:$B$904,0),(MATCH($S$93,'[2]liste reference'!$A$8:$A$904,0)))</f>
        <v>373</v>
      </c>
      <c r="U91" s="257"/>
    </row>
    <row r="92" customFormat="false" ht="12.75" hidden="false" customHeight="false" outlineLevel="0" collapsed="false">
      <c r="Q92" s="10" t="s">
        <v>113</v>
      </c>
      <c r="R92" s="10"/>
      <c r="S92" s="10" t="n">
        <f aca="false">MATCH(S87,$S$23:$S$82,0)</f>
        <v>13</v>
      </c>
      <c r="T92" s="10"/>
    </row>
    <row r="93" customFormat="false" ht="12.75" hidden="false" customHeight="false" outlineLevel="0" collapsed="false">
      <c r="Q93" s="217" t="s">
        <v>114</v>
      </c>
      <c r="R93" s="10"/>
      <c r="S93" s="217" t="str">
        <f aca="false">INDEX($A$23:$A$82,$S$92)</f>
        <v>MYRSPI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2015-04-24T13:58:02Z</dcterms:created>
  <dc:creator>Laurent Bourgoin</dc:creator>
  <dc:description/>
  <dc:language>fr-FR</dc:language>
  <cp:lastModifiedBy>Laurent Bourgoin</cp:lastModifiedBy>
  <dcterms:modified xsi:type="dcterms:W3CDTF">2015-04-24T13:58:09Z</dcterms:modified>
  <cp:revision>0</cp:revision>
  <dc:subject/>
  <dc:title/>
</cp:coreProperties>
</file>