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</xdr:row>
                <xdr:rowOff>7</xdr:rowOff>
              </xdr:from>
              <xdr:to>
                <xdr:col>13</xdr:col>
                <xdr:colOff>4</xdr:colOff>
                <xdr:row>3</xdr:row>
                <xdr:rowOff>7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<sst xmlns="http://schemas.openxmlformats.org/spreadsheetml/2006/main" count="99" uniqueCount="95">
  <si>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</si>
  <si>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</si>
  <si>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</si>
  <si>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M.GAUTHIER S.RENAHY</t>
  </si>
  <si>
    <t xml:space="preserve">conforme AFNOR T90-395 oct. 2003</t>
  </si>
  <si>
    <t xml:space="preserve">Oron</t>
  </si>
  <si>
    <t xml:space="preserve">Oron à St Barthélémy</t>
  </si>
  <si>
    <t xml:space="preserve">06101205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</si>
  <si>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</si>
  <si>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</si>
  <si>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</si>
  <si>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</si>
  <si>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</si>
  <si>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</si>
  <si>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</si>
  <si>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</si>
  <si>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HILSPX</t>
  </si>
  <si>
    <t xml:space="preserve">Faciès dominant</t>
  </si>
  <si>
    <t xml:space="preserve">plat courant</t>
  </si>
  <si>
    <t xml:space="preserve">fosse dissipation</t>
  </si>
  <si>
    <t xml:space="preserve">niv. trophique:</t>
  </si>
  <si>
    <t xml:space="preserve">moyen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</si>
  <si>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</si>
  <si>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</si>
  <si>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</si>
  <si>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</si>
  <si>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</si>
  <si>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</si>
  <si>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</si>
  <si>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</si>
  <si>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</si>
  <si>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</si>
  <si>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</si>
  <si>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</si>
  <si>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</si>
  <si>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</si>
  <si>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</si>
  <si>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</si>
  <si>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</si>
  <si>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</si>
  <si>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</si>
  <si>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</si>
  <si>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</si>
  <si>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</si>
  <si>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</si>
  <si>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</si>
  <si>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</si>
  <si>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</si>
  <si>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</si>
  <si>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</si>
  <si>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</si>
  <si>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</si>
  <si>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</si>
  <si>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</si>
  <si>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</si>
  <si>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</si>
  <si>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</si>
  <si>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</si>
  <si>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</si>
  <si>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</si>
  <si>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</si>
  <si>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</si>
  <si>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</si>
  <si>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</si>
  <si>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</si>
  <si>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</si>
  <si>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</si>
  <si>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</si>
  <si>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</si>
  <si>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</si>
  <si>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</si>
  <si>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</si>
  <si>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</si>
  <si>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</si>
  <si>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</si>
  <si>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</si>
  <si>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</si>
  <si>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</si>
  <si>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VAUSPX</t>
  </si>
  <si>
    <t xml:space="preserve">AMBRIP</t>
  </si>
  <si>
    <t xml:space="preserve">FISCRA</t>
  </si>
  <si>
    <t xml:space="preserve">FONANT</t>
  </si>
  <si>
    <t xml:space="preserve">RHYRIP</t>
  </si>
  <si>
    <t xml:space="preserve">BERERE</t>
  </si>
  <si>
    <t xml:space="preserve">PHAARU</t>
  </si>
  <si>
    <t xml:space="preserve">SOADUL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</si>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</sst>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OROBA_17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10.5454545454545</v>
      </c>
      <c r="M5" s="53"/>
      <c r="N5" s="54" t="s">
        <v>16</v>
      </c>
      <c r="O5" s="55" t="n">
        <v>8.875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99</v>
      </c>
      <c r="C7" s="67" t="n">
        <v>1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9.77777777777778</v>
      </c>
      <c r="O8" s="84" t="n">
        <f aca="false">IF(ISERROR(AVERAGE(J23:J82)),"      -",AVERAGE(J23:J82))</f>
        <v>1.44444444444444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5.06</v>
      </c>
      <c r="C9" s="87" t="n">
        <v>0.1</v>
      </c>
      <c r="D9" s="88"/>
      <c r="E9" s="88"/>
      <c r="F9" s="89" t="n">
        <f aca="false">($B9*$B$7+$C9*$C$7)/100</f>
        <v>5.0104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3.73505251421591</v>
      </c>
      <c r="O9" s="84" t="n">
        <f aca="false">IF(ISERROR(STDEVP(J23:J82)),"      -",STDEVP(J23:J82))</f>
        <v>0.496903994999953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3.51</v>
      </c>
      <c r="C12" s="119"/>
      <c r="D12" s="111"/>
      <c r="E12" s="111"/>
      <c r="F12" s="112" t="n">
        <f aca="false">($B12*$B$7+$C12*$C$7)/100</f>
        <v>3.4749</v>
      </c>
      <c r="G12" s="120"/>
      <c r="H12" s="68"/>
      <c r="I12" s="121" t="s">
        <v>38</v>
      </c>
      <c r="J12" s="121"/>
      <c r="K12" s="115" t="n">
        <f aca="false">COUNTIF($G$23:$G$82,"=ALG")</f>
        <v>3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1.51</v>
      </c>
      <c r="C13" s="119" t="n">
        <v>0.1</v>
      </c>
      <c r="D13" s="111"/>
      <c r="E13" s="111"/>
      <c r="F13" s="112" t="n">
        <f aca="false">($B13*$B$7+$C13*$C$7)/100</f>
        <v>1.4959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4</v>
      </c>
      <c r="L13" s="116"/>
      <c r="M13" s="127" t="s">
        <v>41</v>
      </c>
      <c r="N13" s="128" t="n">
        <f aca="false">COUNTIF(F23:F82,"&gt;0")</f>
        <v>10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9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 t="n">
        <v>0.04</v>
      </c>
      <c r="C15" s="136"/>
      <c r="D15" s="111"/>
      <c r="E15" s="111"/>
      <c r="F15" s="112" t="n">
        <f aca="false">($B15*$B$7+$C15*$C$7)/100</f>
        <v>0.0396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3</v>
      </c>
      <c r="L15" s="116"/>
      <c r="M15" s="137" t="s">
        <v>47</v>
      </c>
      <c r="N15" s="138" t="n">
        <f aca="false">COUNTIF(J23:J82,"=1")</f>
        <v>5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 t="n">
        <v>0.01</v>
      </c>
      <c r="C16" s="110"/>
      <c r="D16" s="140"/>
      <c r="E16" s="140"/>
      <c r="F16" s="141"/>
      <c r="G16" s="141" t="n">
        <f aca="false">($B16*$B$7+$C16*$C$7)/100</f>
        <v>0.0099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5.03</v>
      </c>
      <c r="C17" s="119" t="n">
        <v>0.1</v>
      </c>
      <c r="D17" s="111"/>
      <c r="E17" s="111"/>
      <c r="F17" s="143"/>
      <c r="G17" s="112" t="n">
        <f aca="false">($B17*$B$7+$C17*$C$7)/100</f>
        <v>4.9807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 t="n">
        <v>0.02</v>
      </c>
      <c r="C18" s="146"/>
      <c r="D18" s="111"/>
      <c r="E18" s="147" t="s">
        <v>53</v>
      </c>
      <c r="F18" s="143"/>
      <c r="G18" s="112" t="n">
        <f aca="false">($B18*$B$7+$C18*$C$7)/100</f>
        <v>0.0198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5.0104</v>
      </c>
      <c r="G19" s="156" t="n">
        <f aca="false">SUM(G16:G18)</f>
        <v>5.0104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5.06</v>
      </c>
      <c r="C20" s="166" t="n">
        <f aca="false">SUM(C23:C82)</f>
        <v>0.1</v>
      </c>
      <c r="D20" s="167"/>
      <c r="E20" s="168" t="s">
        <v>53</v>
      </c>
      <c r="F20" s="169" t="n">
        <f aca="false">($B20*$B$7+$C20*$C$7)/100</f>
        <v>5.0104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5.0094</v>
      </c>
      <c r="C21" s="179" t="n">
        <f aca="false">C20*C7/100</f>
        <v>0.001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5.0104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0.5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0.495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0.495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12</v>
      </c>
      <c r="T23" s="217" t="n">
        <f aca="false">IF(ISERROR(R23*I23*J23),0,R23*I23*J23)</f>
        <v>12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16</v>
      </c>
      <c r="B24" s="224" t="n">
        <v>3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Hildenbrandia sp.</v>
      </c>
      <c r="E24" s="226" t="e">
        <f aca="false">IF(D24="",0,VLOOKUP(D24,D$22:D23,1,0))</f>
        <v>#N/A</v>
      </c>
      <c r="F24" s="227" t="n">
        <f aca="false">($B24*$B$7+$C24*$C$7)/100</f>
        <v>2.97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15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Hildenbrandia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1157</v>
      </c>
      <c r="Q24" s="216" t="n">
        <f aca="false">IF(ISTEXT(H24),"",(B24*$B$7/100)+(C24*$C$7/100))</f>
        <v>2.97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45</v>
      </c>
      <c r="T24" s="217" t="n">
        <f aca="false">IF(ISERROR(R24*I24*J24),0,R24*I24*J24)</f>
        <v>90</v>
      </c>
      <c r="U24" s="229" t="n">
        <f aca="false">IF(ISERROR(R24*J24),0,R24*J24)</f>
        <v>6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HILSPX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30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78</v>
      </c>
      <c r="B25" s="224" t="n">
        <v>0.01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Vaucheria sp.</v>
      </c>
      <c r="E25" s="226" t="e">
        <f aca="false">IF(D25="",0,VLOOKUP(D25,D$22:D24,1,0))</f>
        <v>#N/A</v>
      </c>
      <c r="F25" s="227" t="n">
        <f aca="false">($B25*$B$7+$C25*$C$7)/100</f>
        <v>0.0099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4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Vaucheria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6193</v>
      </c>
      <c r="Q25" s="216" t="n">
        <f aca="false">IF(ISTEXT(H25),"",(B25*$B$7/100)+(C25*$C$7/100))</f>
        <v>0.0099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4</v>
      </c>
      <c r="T25" s="217" t="n">
        <f aca="false">IF(ISERROR(R25*I25*J25),0,R25*I25*J25)</f>
        <v>4</v>
      </c>
      <c r="U25" s="229" t="n">
        <f aca="false">IF(ISERROR(R25*J25),0,R25*J25)</f>
        <v>1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VAUSPX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82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79</v>
      </c>
      <c r="B26" s="224" t="n">
        <v>0.2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Amblystegium riparium</v>
      </c>
      <c r="E26" s="226" t="e">
        <f aca="false">IF(D26="",0,VLOOKUP(D26,D$22:D25,1,0))</f>
        <v>#N/A</v>
      </c>
      <c r="F26" s="227" t="n">
        <f aca="false">($B26*$B$7+$C26*$C$7)/100</f>
        <v>0.198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5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Amblystegium riparium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1219</v>
      </c>
      <c r="Q26" s="216" t="n">
        <f aca="false">IF(ISTEXT(H26),"",(B26*$B$7/100)+(C26*$C$7/100))</f>
        <v>0.198</v>
      </c>
      <c r="R26" s="217" t="n">
        <f aca="false">IF(OR(ISTEXT(H26),Q26=0),"",IF(Q26&lt;0.1,1,IF(Q26&lt;1,2,IF(Q26&lt;10,3,IF(Q26&lt;50,4,IF(Q26&gt;=50,5,""))))))</f>
        <v>2</v>
      </c>
      <c r="S26" s="217" t="n">
        <f aca="false">IF(ISERROR(R26*I26),0,R26*I26)</f>
        <v>10</v>
      </c>
      <c r="T26" s="217" t="n">
        <f aca="false">IF(ISERROR(R26*I26*J26),0,R26*I26*J26)</f>
        <v>20</v>
      </c>
      <c r="U26" s="229" t="n">
        <f aca="false">IF(ISERROR(R26*J26),0,R26*J26)</f>
        <v>4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AMBRIP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148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80</v>
      </c>
      <c r="B27" s="224" t="n">
        <v>0.01</v>
      </c>
      <c r="C27" s="225" t="n">
        <v>0.1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Fissidens crassipes</v>
      </c>
      <c r="E27" s="226" t="e">
        <f aca="false">IF(D27="",0,VLOOKUP(D27,D$22:D26,1,0))</f>
        <v>#N/A</v>
      </c>
      <c r="F27" s="227" t="n">
        <f aca="false">($B27*$B$7+$C27*$C$7)/100</f>
        <v>0.0109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Fissidens crassipes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1294</v>
      </c>
      <c r="Q27" s="216" t="n">
        <f aca="false">IF(ISTEXT(H27),"",(B27*$B$7/100)+(C27*$C$7/100))</f>
        <v>0.0109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12</v>
      </c>
      <c r="T27" s="217" t="n">
        <f aca="false">IF(ISERROR(R27*I27*J27),0,R27*I27*J27)</f>
        <v>24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FISCRA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197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81</v>
      </c>
      <c r="B28" s="224" t="n">
        <v>0.8</v>
      </c>
      <c r="C28" s="225" t="n">
        <v>0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Fontinalis antipyretica</v>
      </c>
      <c r="E28" s="226" t="e">
        <f aca="false">IF(D28="",0,VLOOKUP(D28,D$22:D27,1,0))</f>
        <v>#N/A</v>
      </c>
      <c r="F28" s="227" t="n">
        <f aca="false">($B28*$B$7+$C28*$C$7)/100</f>
        <v>0.792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10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Fontinalis antipyretica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1310</v>
      </c>
      <c r="Q28" s="216" t="n">
        <f aca="false">IF(ISTEXT(H28),"",(B28*$B$7/100)+(C28*$C$7/100))</f>
        <v>0.792</v>
      </c>
      <c r="R28" s="217" t="n">
        <f aca="false">IF(OR(ISTEXT(H28),Q28=0),"",IF(Q28&lt;0.1,1,IF(Q28&lt;1,2,IF(Q28&lt;10,3,IF(Q28&lt;50,4,IF(Q28&gt;=50,5,""))))))</f>
        <v>2</v>
      </c>
      <c r="S28" s="217" t="n">
        <f aca="false">IF(ISERROR(R28*I28),0,R28*I28)</f>
        <v>20</v>
      </c>
      <c r="T28" s="217" t="n">
        <f aca="false">IF(ISERROR(R28*I28*J28),0,R28*I28*J28)</f>
        <v>20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FONANT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210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82</v>
      </c>
      <c r="B29" s="224" t="n">
        <v>0.5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Rhynchostegium riparioides</v>
      </c>
      <c r="E29" s="226" t="e">
        <f aca="false">IF(D29="",0,VLOOKUP(D29,D$22:D28,1,0))</f>
        <v>#N/A</v>
      </c>
      <c r="F29" s="227" t="n">
        <f aca="false">($B29*$B$7+$C29*$C$7)/100</f>
        <v>0.495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12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Rhynchostegium riparioides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1268</v>
      </c>
      <c r="Q29" s="216" t="n">
        <f aca="false">IF(ISTEXT(H29),"",(B29*$B$7/100)+(C29*$C$7/100))</f>
        <v>0.495</v>
      </c>
      <c r="R29" s="217" t="n">
        <f aca="false">IF(OR(ISTEXT(H29),Q29=0),"",IF(Q29&lt;0.1,1,IF(Q29&lt;1,2,IF(Q29&lt;10,3,IF(Q29&lt;50,4,IF(Q29&gt;=50,5,""))))))</f>
        <v>2</v>
      </c>
      <c r="S29" s="217" t="n">
        <f aca="false">IF(ISERROR(R29*I29),0,R29*I29)</f>
        <v>24</v>
      </c>
      <c r="T29" s="217" t="n">
        <f aca="false">IF(ISERROR(R29*I29*J29),0,R29*I29*J29)</f>
        <v>24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RHYRIP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252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83</v>
      </c>
      <c r="B30" s="224" t="n">
        <v>0.02</v>
      </c>
      <c r="C30" s="225" t="n">
        <v>0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Berula erecta</v>
      </c>
      <c r="E30" s="226" t="e">
        <f aca="false">IF(D30="",0,VLOOKUP(D30,D$22:D29,1,0))</f>
        <v>#N/A</v>
      </c>
      <c r="F30" s="227" t="n">
        <f aca="false">($B30*$B$7+$C30*$C$7)/100</f>
        <v>0.0198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PHe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8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14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Berula erecta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1977</v>
      </c>
      <c r="Q30" s="216" t="n">
        <f aca="false">IF(ISTEXT(H30),"",(B30*$B$7/100)+(C30*$C$7/100))</f>
        <v>0.0198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14</v>
      </c>
      <c r="T30" s="217" t="n">
        <f aca="false">IF(ISERROR(R30*I30*J30),0,R30*I30*J30)</f>
        <v>28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BERERE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527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84</v>
      </c>
      <c r="B31" s="224" t="n">
        <v>0.01</v>
      </c>
      <c r="C31" s="225" t="n">
        <v>0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Phalaris arundinacea</v>
      </c>
      <c r="E31" s="226" t="e">
        <f aca="false">IF(D31="",0,VLOOKUP(D31,D$22:D30,1,0))</f>
        <v>#N/A</v>
      </c>
      <c r="F31" s="227" t="n">
        <f aca="false">($B31*$B$7+$C31*$C$7)/100</f>
        <v>0.0099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PHe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8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10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Phalaris arundinacea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1577</v>
      </c>
      <c r="Q31" s="216" t="n">
        <f aca="false">IF(ISTEXT(H31),"",(B31*$B$7/100)+(C31*$C$7/100))</f>
        <v>0.0099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10</v>
      </c>
      <c r="T31" s="217" t="n">
        <f aca="false">IF(ISERROR(R31*I31*J31),0,R31*I31*J31)</f>
        <v>10</v>
      </c>
      <c r="U31" s="229" t="n">
        <f aca="false">IF(ISERROR(R31*J31),0,R31*J31)</f>
        <v>1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PHAARU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634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85</v>
      </c>
      <c r="B32" s="224" t="n">
        <v>0.01</v>
      </c>
      <c r="C32" s="225" t="n">
        <v>0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Solanum dulcamara</v>
      </c>
      <c r="E32" s="226" t="e">
        <f aca="false">IF(D32="",0,VLOOKUP(D32,D$22:D31,1,0))</f>
        <v>#N/A</v>
      </c>
      <c r="F32" s="227" t="n">
        <f aca="false">($B32*$B$7+$C32*$C$7)/100</f>
        <v>0.0099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PHg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9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Solanum dulcamara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1964</v>
      </c>
      <c r="Q32" s="216" t="n">
        <f aca="false">IF(ISTEXT(H32),"",(B32*$B$7/100)+(C32*$C$7/100))</f>
        <v>0.0099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SOADUL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824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Oron</v>
      </c>
      <c r="B84" s="259" t="str">
        <f aca="false">C3</f>
        <v>Oron à St Barthélémy</v>
      </c>
      <c r="C84" s="260" t="n">
        <f aca="false">A4</f>
        <v>41807</v>
      </c>
      <c r="D84" s="261" t="n">
        <f aca="false">IF(ISERROR(SUM($T$23:$T$82)/SUM($U$23:$U$82)),"",SUM($T$23:$T$82)/SUM($U$23:$U$82))</f>
        <v>10.5454545454545</v>
      </c>
      <c r="E84" s="262" t="n">
        <f aca="false">N13</f>
        <v>10</v>
      </c>
      <c r="F84" s="259" t="n">
        <f aca="false">N14</f>
        <v>9</v>
      </c>
      <c r="G84" s="259" t="n">
        <f aca="false">N15</f>
        <v>5</v>
      </c>
      <c r="H84" s="259" t="n">
        <f aca="false">N16</f>
        <v>4</v>
      </c>
      <c r="I84" s="259" t="n">
        <f aca="false">N17</f>
        <v>0</v>
      </c>
      <c r="J84" s="263" t="n">
        <f aca="false">N8</f>
        <v>9.77777777777778</v>
      </c>
      <c r="K84" s="261" t="n">
        <f aca="false">N9</f>
        <v>3.73505251421591</v>
      </c>
      <c r="L84" s="262" t="n">
        <f aca="false">N10</f>
        <v>4</v>
      </c>
      <c r="M84" s="262" t="n">
        <f aca="false">N11</f>
        <v>15</v>
      </c>
      <c r="N84" s="261" t="n">
        <f aca="false">O8</f>
        <v>1.44444444444444</v>
      </c>
      <c r="O84" s="261" t="n">
        <f aca="false">O9</f>
        <v>0.496903994999953</v>
      </c>
      <c r="P84" s="262" t="n">
        <f aca="false">O10</f>
        <v>1</v>
      </c>
      <c r="Q84" s="262" t="n">
        <f aca="false">O11</f>
        <v>2</v>
      </c>
      <c r="R84" s="262" t="n">
        <f aca="false">F21</f>
        <v>5.0104</v>
      </c>
      <c r="S84" s="262" t="n">
        <f aca="false">K11</f>
        <v>0</v>
      </c>
      <c r="T84" s="262" t="n">
        <f aca="false">K12</f>
        <v>3</v>
      </c>
      <c r="U84" s="262" t="n">
        <f aca="false">K13</f>
        <v>4</v>
      </c>
      <c r="V84" s="264" t="n">
        <f aca="false">K14</f>
        <v>0</v>
      </c>
      <c r="W84" s="265" t="n">
        <f aca="false">K15</f>
        <v>3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8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8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90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68" t="n">
        <f aca="false">IF(ISERROR(SUM($T$23:$T$82)/SUM($U$23:$U$82)),"",(SUM($T$23:$T$82)-S88)/(SUM($U$23:$U$82)-S89))</f>
        <v>8.875</v>
      </c>
      <c r="T90" s="10"/>
    </row>
    <row r="91" customFormat="false" ht="12.75" hidden="false" customHeight="false" outlineLevel="0" collapsed="false">
      <c r="Q91" s="217" t="s">
        <v>92</v>
      </c>
      <c r="R91" s="217"/>
      <c r="S91" s="217" t="str">
        <f aca="false">INDEX('[2]liste reference'!$A$8:$A$904,$T$91)</f>
        <v>HILSPX</v>
      </c>
      <c r="T91" s="10" t="n">
        <f aca="false">IF(ISERROR(MATCH($S$93,'[2]liste reference'!$A$8:$A$904,0)),MATCH($S$93,'[2]liste reference'!$B$8:$B$904,0),(MATCH($S$93,'[2]liste reference'!$A$8:$A$904,0)))</f>
        <v>30</v>
      </c>
      <c r="U91" s="257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7" t="s">
        <v>94</v>
      </c>
      <c r="R93" s="10"/>
      <c r="S93" s="217" t="str">
        <f aca="false">INDEX($A$23:$A$82,$S$92)</f>
        <v>HILSPX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2014-12-15T16:09:57Z</dcterms:created>
  <dc:creator>Laurent Bourgoin</dc:creator>
  <dc:description/>
  <dc:language>fr-FR</dc:language>
  <cp:lastModifiedBy>Laurent Bourgoin</cp:lastModifiedBy>
  <dcterms:modified xsi:type="dcterms:W3CDTF">2014-12-15T16:10:05Z</dcterms:modified>
  <cp:revision>0</cp:revision>
  <dc:subject/>
  <dc:title/>
</cp:coreProperties>
</file>