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<sst xmlns="http://schemas.openxmlformats.org/spreadsheetml/2006/main" count="160" uniqueCount="95">
  <si>
    <t xml:space="preserve">Relevés floristiques aquatiques - IBMR</t>
  </si>
  <si>
    <t xml:space="preserve">modèle Irstea-GIS</t>
  </si>
  <si>
    <t xml:space="preserve">SAGE ENVIRONNEMENT</t>
  </si>
  <si>
    <t xml:space="preserve">CBERNARD M SCHNEIDER</t>
  </si>
  <si>
    <t xml:space="preserve">DOUX</t>
  </si>
  <si>
    <t xml:space="preserve">DOUX A SAINT JEAN DE MUZOLS</t>
  </si>
  <si>
    <t xml:space="preserve">06106030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</si>
  <si>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</si>
  <si>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</si>
  <si>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</si>
  <si>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</si>
  <si>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</si>
  <si>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</si>
  <si>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</si>
  <si>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</si>
  <si>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</si>
  <si>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LEASPX</t>
  </si>
  <si>
    <t xml:space="preserve">Faciès dominant</t>
  </si>
  <si>
    <t xml:space="preserve">radier</t>
  </si>
  <si>
    <t xml:space="preserve">ch. lentique</t>
  </si>
  <si>
    <t xml:space="preserve">niveau trophique</t>
  </si>
  <si>
    <t xml:space="preserve">moyen</t>
  </si>
  <si>
    <t xml:space="preserve">très 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</si>
  <si>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</si>
  <si>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</si>
  <si>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</si>
  <si>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</si>
  <si>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</si>
  <si>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</si>
  <si>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</si>
  <si>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</si>
  <si>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</si>
  <si>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très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</si>
  <si>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</si>
  <si>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</si>
  <si>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</si>
  <si>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</si>
  <si>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</si>
  <si>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</si>
  <si>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</si>
  <si>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</si>
  <si>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</si>
  <si>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</si>
  <si>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</si>
  <si>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</si>
  <si>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</si>
  <si>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</si>
  <si>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</si>
  <si>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</si>
  <si>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</si>
  <si>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</si>
  <si>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</si>
  <si>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</si>
  <si>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</si>
  <si>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</si>
  <si>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</si>
  <si>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</si>
  <si>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</si>
  <si>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</si>
  <si>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</si>
  <si>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</si>
  <si>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</si>
  <si>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</si>
  <si>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</si>
  <si>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</si>
  <si>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</si>
  <si>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</si>
  <si>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</si>
  <si>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</si>
  <si>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</si>
  <si>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</si>
  <si>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</si>
  <si>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</si>
  <si>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</si>
  <si>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</si>
  <si>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</si>
  <si>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</si>
  <si>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</si>
  <si>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</si>
  <si>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</si>
  <si>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</si>
  <si>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</si>
  <si>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SPISPX</t>
  </si>
  <si>
    <t xml:space="preserve">DIHSPX</t>
  </si>
  <si>
    <t xml:space="preserve">DRESPX</t>
  </si>
  <si>
    <t xml:space="preserve">FONANT</t>
  </si>
  <si>
    <t xml:space="preserve">LEORIP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</si>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</sst>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DOMUZ_22-07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42207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10.5454545454545</v>
      </c>
      <c r="N5" s="51"/>
      <c r="O5" s="52" t="s">
        <v>16</v>
      </c>
      <c r="P5" s="53" t="n">
        <v>8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22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23</v>
      </c>
      <c r="B7" s="68" t="n">
        <v>22</v>
      </c>
      <c r="C7" s="69" t="n">
        <v>78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24</v>
      </c>
      <c r="P7" s="78" t="s">
        <v>25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26</v>
      </c>
      <c r="B8" s="43"/>
      <c r="C8" s="43"/>
      <c r="D8" s="57"/>
      <c r="E8" s="57"/>
      <c r="F8" s="80" t="s">
        <v>27</v>
      </c>
      <c r="G8" s="81"/>
      <c r="H8" s="57"/>
      <c r="I8" s="8"/>
      <c r="J8" s="72"/>
      <c r="K8" s="73"/>
      <c r="L8" s="74"/>
      <c r="M8" s="75"/>
      <c r="N8" s="82" t="s">
        <v>28</v>
      </c>
      <c r="O8" s="83" t="n">
        <f aca="false">IF(ISERROR(AVERAGE(J23:J82))," ",AVERAGE(J23:J82))</f>
        <v>9.2</v>
      </c>
      <c r="P8" s="83" t="n">
        <f aca="false">IF(ISERROR(AVERAGE(K23:K82)),"  ",AVERAGE(K23:K82))</f>
        <v>1.4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29</v>
      </c>
      <c r="B9" s="85" t="n">
        <v>2.61</v>
      </c>
      <c r="C9" s="86" t="n">
        <v>10.14</v>
      </c>
      <c r="D9" s="87"/>
      <c r="E9" s="87"/>
      <c r="F9" s="88" t="n">
        <f aca="false">($B9*$B$7+$C9*$C$7)/100</f>
        <v>8.4834</v>
      </c>
      <c r="G9" s="89"/>
      <c r="H9" s="44"/>
      <c r="I9" s="8"/>
      <c r="J9" s="90"/>
      <c r="K9" s="91"/>
      <c r="L9" s="74"/>
      <c r="M9" s="92"/>
      <c r="N9" s="82" t="s">
        <v>30</v>
      </c>
      <c r="O9" s="83" t="n">
        <f aca="false">IF(ISERROR(STDEVP(J23:J82))," ",STDEVP(J23:J82))</f>
        <v>3.54400902933387</v>
      </c>
      <c r="P9" s="83" t="n">
        <f aca="false">IF(ISERROR(STDEVP(K23:K82)),"  ",STDEVP(K23:K82))</f>
        <v>0.489897948556636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31</v>
      </c>
      <c r="B10" s="93" t="s">
        <v>32</v>
      </c>
      <c r="C10" s="94" t="s">
        <v>32</v>
      </c>
      <c r="D10" s="87"/>
      <c r="E10" s="87"/>
      <c r="F10" s="88"/>
      <c r="G10" s="89"/>
      <c r="H10" s="57"/>
      <c r="I10" s="8"/>
      <c r="J10" s="95"/>
      <c r="K10" s="96" t="s">
        <v>33</v>
      </c>
      <c r="L10" s="97"/>
      <c r="M10" s="98"/>
      <c r="N10" s="82" t="s">
        <v>34</v>
      </c>
      <c r="O10" s="99" t="n">
        <f aca="false">MIN(J23:J82)</f>
        <v>5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35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36</v>
      </c>
      <c r="K11" s="106"/>
      <c r="L11" s="107" t="n">
        <f aca="false">COUNTIF($G$23:$G$82,"=HET")</f>
        <v>0</v>
      </c>
      <c r="M11" s="108"/>
      <c r="N11" s="82" t="s">
        <v>37</v>
      </c>
      <c r="O11" s="99" t="n">
        <f aca="false">MAX(J23:J82)</f>
        <v>15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38</v>
      </c>
      <c r="B12" s="110" t="n">
        <v>2.5</v>
      </c>
      <c r="C12" s="111" t="n">
        <v>10.11</v>
      </c>
      <c r="D12" s="87"/>
      <c r="E12" s="87"/>
      <c r="F12" s="104" t="n">
        <f aca="false">($B12*$B$7+$C12*$C$7)/100</f>
        <v>8.4358</v>
      </c>
      <c r="G12" s="105"/>
      <c r="H12" s="57"/>
      <c r="I12" s="8"/>
      <c r="J12" s="106" t="s">
        <v>39</v>
      </c>
      <c r="K12" s="106"/>
      <c r="L12" s="107" t="n">
        <f aca="false">COUNTIF($G$23:$G$82,"=ALG")</f>
        <v>3</v>
      </c>
      <c r="M12" s="108"/>
      <c r="N12" s="112"/>
      <c r="O12" s="113" t="s">
        <v>33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40</v>
      </c>
      <c r="B13" s="110" t="n">
        <v>0.11</v>
      </c>
      <c r="C13" s="111" t="n">
        <v>0.03</v>
      </c>
      <c r="D13" s="87"/>
      <c r="E13" s="87"/>
      <c r="F13" s="104" t="n">
        <f aca="false">($B13*$B$7+$C13*$C$7)/100</f>
        <v>0.0476</v>
      </c>
      <c r="G13" s="105"/>
      <c r="H13" s="57"/>
      <c r="I13" s="8"/>
      <c r="J13" s="106" t="s">
        <v>41</v>
      </c>
      <c r="K13" s="106"/>
      <c r="L13" s="107" t="n">
        <f aca="false">COUNTIF($G$23:$G$82,"=BRm")+COUNTIF($G$23:$G$82,"=BRh")</f>
        <v>4</v>
      </c>
      <c r="M13" s="108"/>
      <c r="N13" s="116" t="s">
        <v>42</v>
      </c>
      <c r="O13" s="117" t="n">
        <f aca="false">COUNTIF(F23:F82,"&gt;0")</f>
        <v>7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43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44</v>
      </c>
      <c r="K14" s="106"/>
      <c r="L14" s="107" t="n">
        <f aca="false">COUNTIF($G$23:$G$82,"=PTE")+COUNTIF($G$23:$G$82,"=LIC")</f>
        <v>0</v>
      </c>
      <c r="M14" s="108"/>
      <c r="N14" s="119" t="s">
        <v>45</v>
      </c>
      <c r="O14" s="120" t="n">
        <f aca="false">COUNTIF($J$23:$J$82,"&gt;-1")</f>
        <v>5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46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47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48</v>
      </c>
      <c r="O15" s="117" t="n">
        <f aca="false">COUNTIF(K23:K82,"=1")</f>
        <v>3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49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50</v>
      </c>
      <c r="O16" s="117" t="n">
        <f aca="false">COUNTIF(K23:K82,"=2")</f>
        <v>2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51</v>
      </c>
      <c r="B17" s="110" t="n">
        <v>2.61</v>
      </c>
      <c r="C17" s="111" t="n">
        <v>10.14</v>
      </c>
      <c r="D17" s="87"/>
      <c r="E17" s="87"/>
      <c r="F17" s="129"/>
      <c r="G17" s="130" t="n">
        <f aca="false">($B17*$B$7+$C17*$C$7)/100</f>
        <v>8.4834</v>
      </c>
      <c r="H17" s="57"/>
      <c r="I17" s="8"/>
      <c r="J17" s="131"/>
      <c r="K17" s="132"/>
      <c r="L17" s="133" t="s">
        <v>52</v>
      </c>
      <c r="M17" s="134" t="n">
        <f aca="false">IF(ISERROR((O13-(COUNTIF(J23:J82,"nc")))/O13),"-",(O13-(COUNTIF(J23:J82,"nc")))/O13)</f>
        <v>0.714285714285714</v>
      </c>
      <c r="N17" s="116" t="s">
        <v>53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54</v>
      </c>
      <c r="B18" s="137"/>
      <c r="C18" s="138"/>
      <c r="D18" s="87"/>
      <c r="E18" s="139" t="s">
        <v>55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8.4834</v>
      </c>
      <c r="G19" s="150" t="n">
        <f aca="false">SUM(G16:G18)</f>
        <v>8.4834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56</v>
      </c>
      <c r="B20" s="159" t="n">
        <f aca="false">SUM(B23:B62)</f>
        <v>2.61</v>
      </c>
      <c r="C20" s="160" t="n">
        <f aca="false">SUM(C23:C62)</f>
        <v>10.14</v>
      </c>
      <c r="D20" s="161"/>
      <c r="E20" s="162" t="s">
        <v>55</v>
      </c>
      <c r="F20" s="163" t="n">
        <f aca="false">($B20*$B$7+$C20*$C$7)/100</f>
        <v>8.4834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57</v>
      </c>
      <c r="B21" s="171" t="n">
        <f aca="false">B20*B7/100</f>
        <v>0.5742</v>
      </c>
      <c r="C21" s="171" t="n">
        <f aca="false">C20*C7/100</f>
        <v>7.9092</v>
      </c>
      <c r="D21" s="172" t="s">
        <v>58</v>
      </c>
      <c r="E21" s="173"/>
      <c r="F21" s="174" t="n">
        <f aca="false">B21+C21</f>
        <v>8.4834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59</v>
      </c>
    </row>
    <row r="22" customFormat="false" ht="12.75" hidden="false" customHeight="false" outlineLevel="0" collapsed="false">
      <c r="A22" s="183" t="s">
        <v>60</v>
      </c>
      <c r="B22" s="184" t="s">
        <v>61</v>
      </c>
      <c r="C22" s="184" t="s">
        <v>61</v>
      </c>
      <c r="D22" s="185"/>
      <c r="E22" s="186"/>
      <c r="F22" s="187" t="s">
        <v>62</v>
      </c>
      <c r="G22" s="188" t="s">
        <v>63</v>
      </c>
      <c r="H22" s="87" t="s">
        <v>64</v>
      </c>
      <c r="I22" s="8" t="s">
        <v>65</v>
      </c>
      <c r="J22" s="189" t="s">
        <v>66</v>
      </c>
      <c r="K22" s="189" t="s">
        <v>67</v>
      </c>
      <c r="L22" s="190" t="s">
        <v>68</v>
      </c>
      <c r="M22" s="190"/>
      <c r="N22" s="190"/>
      <c r="O22" s="190"/>
      <c r="P22" s="182" t="s">
        <v>69</v>
      </c>
      <c r="Q22" s="191" t="s">
        <v>70</v>
      </c>
      <c r="R22" s="192" t="s">
        <v>71</v>
      </c>
      <c r="S22" s="193" t="s">
        <v>72</v>
      </c>
      <c r="T22" s="194" t="s">
        <v>73</v>
      </c>
      <c r="U22" s="194" t="s">
        <v>74</v>
      </c>
      <c r="V22" s="195" t="s">
        <v>75</v>
      </c>
      <c r="W22" s="196" t="s">
        <v>76</v>
      </c>
      <c r="X22" s="196" t="s">
        <v>77</v>
      </c>
      <c r="Y22" s="197" t="s">
        <v>78</v>
      </c>
      <c r="Z22" s="197" t="s">
        <v>79</v>
      </c>
    </row>
    <row r="23" customFormat="false" ht="12.75" hidden="false" customHeight="false" outlineLevel="0" collapsed="false">
      <c r="A23" s="198" t="s">
        <v>80</v>
      </c>
      <c r="B23" s="199" t="n">
        <v>0</v>
      </c>
      <c r="C23" s="200" t="n">
        <v>0.01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0.0078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81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0.0078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6</v>
      </c>
      <c r="U23" s="212" t="n">
        <f aca="false">IF(ISERROR(S23*J23*K23),0,S23*J23*K23)</f>
        <v>6</v>
      </c>
      <c r="V23" s="212" t="n">
        <f aca="false">IF(ISERROR(S23*K23),0,S23*K23)</f>
        <v>1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16</v>
      </c>
      <c r="B24" s="217" t="n">
        <v>2</v>
      </c>
      <c r="C24" s="218" t="n">
        <v>0.1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Lemanea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0.518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15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Lemanea sp.</v>
      </c>
      <c r="M24" s="225"/>
      <c r="N24" s="225"/>
      <c r="O24" s="225"/>
      <c r="P24" s="226" t="s">
        <v>81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1159</v>
      </c>
      <c r="R24" s="211" t="n">
        <f aca="false">IF(ISTEXT(H24),"",(B24*$B$7/100)+(C24*$C$7/100))</f>
        <v>0.518</v>
      </c>
      <c r="S24" s="212" t="n">
        <f aca="false">IF(OR(ISTEXT(H24),R24=0),"",IF(R24&lt;0.1,1,IF(R24&lt;1,2,IF(R24&lt;10,3,IF(R24&lt;50,4,IF(R24&gt;=50,5,""))))))</f>
        <v>2</v>
      </c>
      <c r="T24" s="212" t="n">
        <f aca="false">IF(ISERROR(S24*J24),0,S24*J24)</f>
        <v>30</v>
      </c>
      <c r="U24" s="212" t="n">
        <f aca="false">IF(ISERROR(S24*J24*K24),0,S24*J24*K24)</f>
        <v>60</v>
      </c>
      <c r="V24" s="228" t="n">
        <f aca="false">IF(ISERROR(S24*K24),0,S24*K24)</f>
        <v>4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LEASPX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59</v>
      </c>
    </row>
    <row r="25" customFormat="false" ht="12.75" hidden="false" customHeight="false" outlineLevel="0" collapsed="false">
      <c r="A25" s="216" t="s">
        <v>82</v>
      </c>
      <c r="B25" s="217" t="n">
        <v>0.5</v>
      </c>
      <c r="C25" s="218" t="n">
        <v>10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Spirogyra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7.91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10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1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Spirogyra sp.</v>
      </c>
      <c r="M25" s="225"/>
      <c r="N25" s="225"/>
      <c r="O25" s="225"/>
      <c r="P25" s="226" t="s">
        <v>81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1147</v>
      </c>
      <c r="R25" s="211" t="n">
        <f aca="false">IF(ISTEXT(H25),"",(B25*$B$7/100)+(C25*$C$7/100))</f>
        <v>7.91</v>
      </c>
      <c r="S25" s="212" t="n">
        <f aca="false">IF(OR(ISTEXT(H25),R25=0),"",IF(R25&lt;0.1,1,IF(R25&lt;1,2,IF(R25&lt;10,3,IF(R25&lt;50,4,IF(R25&gt;=50,5,""))))))</f>
        <v>3</v>
      </c>
      <c r="T25" s="212" t="n">
        <f aca="false">IF(ISERROR(S25*J25),0,S25*J25)</f>
        <v>30</v>
      </c>
      <c r="U25" s="212" t="n">
        <f aca="false">IF(ISERROR(S25*J25*K25),0,S25*J25*K25)</f>
        <v>30</v>
      </c>
      <c r="V25" s="228" t="n">
        <f aca="false">IF(ISERROR(S25*K25),0,S25*K25)</f>
        <v>3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SPISPX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102</v>
      </c>
    </row>
    <row r="26" customFormat="false" ht="12.75" hidden="false" customHeight="false" outlineLevel="0" collapsed="false">
      <c r="A26" s="216" t="s">
        <v>83</v>
      </c>
      <c r="B26" s="217" t="n">
        <v>0</v>
      </c>
      <c r="C26" s="218" t="n">
        <v>0.02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Dichodontium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0.0156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BRm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5</v>
      </c>
      <c r="I26" s="8" t="n">
        <f aca="false">IF(A26="","",1)</f>
        <v>1</v>
      </c>
      <c r="J26" s="224" t="str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nc</v>
      </c>
      <c r="K26" s="224" t="str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nc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Dichodontium sp.</v>
      </c>
      <c r="M26" s="225"/>
      <c r="N26" s="225"/>
      <c r="O26" s="225"/>
      <c r="P26" s="226" t="s">
        <v>81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1276</v>
      </c>
      <c r="R26" s="211" t="n">
        <f aca="false">IF(ISTEXT(H26),"",(B26*$B$7/100)+(C26*$C$7/100))</f>
        <v>0.0156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0</v>
      </c>
      <c r="U26" s="212" t="n">
        <f aca="false">IF(ISERROR(S26*J26*K26),0,S26*J26*K26)</f>
        <v>0</v>
      </c>
      <c r="V26" s="228" t="n">
        <f aca="false">IF(ISERROR(S26*K26),0,S26*K26)</f>
        <v>0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DIHSPX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235</v>
      </c>
    </row>
    <row r="27" customFormat="false" ht="12.75" hidden="false" customHeight="false" outlineLevel="0" collapsed="false">
      <c r="A27" s="216" t="s">
        <v>84</v>
      </c>
      <c r="B27" s="217" t="n">
        <v>0.025</v>
      </c>
      <c r="C27" s="218" t="n">
        <v>0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Drepanocladus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0.0055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BRm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5</v>
      </c>
      <c r="I27" s="8" t="n">
        <f aca="false">IF(A27="","",1)</f>
        <v>1</v>
      </c>
      <c r="J27" s="224" t="str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nc</v>
      </c>
      <c r="K27" s="224" t="str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nc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Drepanocladus sp.</v>
      </c>
      <c r="M27" s="225"/>
      <c r="N27" s="225"/>
      <c r="O27" s="225"/>
      <c r="P27" s="226" t="s">
        <v>81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1234</v>
      </c>
      <c r="R27" s="211" t="n">
        <f aca="false">IF(ISTEXT(H27),"",(B27*$B$7/100)+(C27*$C$7/100))</f>
        <v>0.0055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0</v>
      </c>
      <c r="U27" s="212" t="n">
        <f aca="false">IF(ISERROR(S27*J27*K27),0,S27*J27*K27)</f>
        <v>0</v>
      </c>
      <c r="V27" s="228" t="n">
        <f aca="false">IF(ISERROR(S27*K27),0,S27*K27)</f>
        <v>0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DRESPX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247</v>
      </c>
    </row>
    <row r="28" customFormat="false" ht="12.75" hidden="false" customHeight="false" outlineLevel="0" collapsed="false">
      <c r="A28" s="216" t="s">
        <v>85</v>
      </c>
      <c r="B28" s="217" t="n">
        <v>0.01</v>
      </c>
      <c r="C28" s="218" t="n">
        <v>0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Fontinalis antipyretica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0.0022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BRm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5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10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1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Fontinalis antipyretica</v>
      </c>
      <c r="M28" s="225"/>
      <c r="N28" s="225"/>
      <c r="O28" s="225"/>
      <c r="P28" s="226" t="s">
        <v>81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1310</v>
      </c>
      <c r="R28" s="211" t="n">
        <f aca="false">IF(ISTEXT(H28),"",(B28*$B$7/100)+(C28*$C$7/100))</f>
        <v>0.0022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10</v>
      </c>
      <c r="U28" s="212" t="n">
        <f aca="false">IF(ISERROR(S28*J28*K28),0,S28*J28*K28)</f>
        <v>10</v>
      </c>
      <c r="V28" s="228" t="n">
        <f aca="false">IF(ISERROR(S28*K28),0,S28*K28)</f>
        <v>1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FONANT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273</v>
      </c>
    </row>
    <row r="29" customFormat="false" ht="12.75" hidden="false" customHeight="false" outlineLevel="0" collapsed="false">
      <c r="A29" s="216" t="s">
        <v>86</v>
      </c>
      <c r="B29" s="217" t="n">
        <v>0.075</v>
      </c>
      <c r="C29" s="218" t="n">
        <v>0.01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Leptodictyum riparium 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0.0243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BRm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5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5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2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Leptodictyum riparium </v>
      </c>
      <c r="M29" s="225"/>
      <c r="N29" s="225"/>
      <c r="O29" s="225"/>
      <c r="P29" s="226" t="s">
        <v>81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1244</v>
      </c>
      <c r="R29" s="211" t="n">
        <f aca="false">IF(ISTEXT(H29),"",(B29*$B$7/100)+(C29*$C$7/100))</f>
        <v>0.0243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5</v>
      </c>
      <c r="U29" s="212" t="n">
        <f aca="false">IF(ISERROR(S29*J29*K29),0,S29*J29*K29)</f>
        <v>10</v>
      </c>
      <c r="V29" s="228" t="n">
        <f aca="false">IF(ISERROR(S29*K29),0,S29*K29)</f>
        <v>2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LEORIP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298</v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81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81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81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81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81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81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81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81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81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81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81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81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81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81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81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81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81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81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81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81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81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81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81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81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81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81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81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81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81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81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81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81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81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81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81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81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81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81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81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81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81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81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81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81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81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81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81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81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81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81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81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81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81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8.4834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11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DOUX</v>
      </c>
      <c r="B84" s="180" t="str">
        <f aca="false">C3</f>
        <v>DOUX A SAINT JEAN DE MUZOLS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10.5454545454545</v>
      </c>
      <c r="E84" s="254" t="n">
        <f aca="false">O13</f>
        <v>7</v>
      </c>
      <c r="F84" s="180" t="n">
        <f aca="false">O14</f>
        <v>5</v>
      </c>
      <c r="G84" s="180" t="n">
        <f aca="false">O15</f>
        <v>3</v>
      </c>
      <c r="H84" s="180" t="n">
        <f aca="false">O16</f>
        <v>2</v>
      </c>
      <c r="I84" s="180" t="n">
        <f aca="false">O17</f>
        <v>0</v>
      </c>
      <c r="J84" s="255" t="n">
        <f aca="false">O8</f>
        <v>9.2</v>
      </c>
      <c r="K84" s="256" t="n">
        <f aca="false">O9</f>
        <v>3.54400902933387</v>
      </c>
      <c r="L84" s="257" t="n">
        <f aca="false">O10</f>
        <v>5</v>
      </c>
      <c r="M84" s="257" t="n">
        <f aca="false">O11</f>
        <v>15</v>
      </c>
      <c r="N84" s="256" t="n">
        <f aca="false">P8</f>
        <v>1.4</v>
      </c>
      <c r="O84" s="256" t="n">
        <f aca="false">P9</f>
        <v>0.489897948556636</v>
      </c>
      <c r="P84" s="257" t="n">
        <f aca="false">P10</f>
        <v>1</v>
      </c>
      <c r="Q84" s="257" t="n">
        <f aca="false">P11</f>
        <v>2</v>
      </c>
      <c r="R84" s="257" t="n">
        <f aca="false">F21</f>
        <v>8.4834</v>
      </c>
      <c r="S84" s="257" t="n">
        <f aca="false">L11</f>
        <v>0</v>
      </c>
      <c r="T84" s="257" t="n">
        <f aca="false">L12</f>
        <v>3</v>
      </c>
      <c r="U84" s="257" t="n">
        <f aca="false">L13</f>
        <v>4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87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88</v>
      </c>
      <c r="S87" s="8"/>
      <c r="T87" s="263" t="n">
        <f aca="false">VLOOKUP($T$91,($A$23:$U$82),20,FALSE())</f>
        <v>30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89</v>
      </c>
      <c r="S88" s="8"/>
      <c r="T88" s="263" t="n">
        <f aca="false">VLOOKUP($T$91,($A$23:$U$82),21,FALSE())</f>
        <v>60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90</v>
      </c>
      <c r="S89" s="8"/>
      <c r="T89" s="263" t="n">
        <f aca="false">MAX($V$23:$V$82)</f>
        <v>4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91</v>
      </c>
      <c r="S90" s="8" t="s">
        <v>10</v>
      </c>
      <c r="T90" s="264" t="n">
        <f aca="false">IF(OR(ISERROR(SUM($U$23:$U$82)/SUM($V$23:$V$82)),F7&lt;&gt;100),-1,(SUM($U$23:$U$82)-T88)/(SUM($V$23:$V$82)-T89))</f>
        <v>8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92</v>
      </c>
      <c r="S91" s="212"/>
      <c r="T91" s="212" t="str">
        <f aca="false">INDEX('[1]liste reference'!$A$6:$A$1174,$U$91)</f>
        <v>LEASPX</v>
      </c>
      <c r="U91" s="8" t="n">
        <f aca="false">IF(ISERROR(MATCH($T$93,'[1]liste reference'!$A$6:$A$1174,0)),MATCH($T$93,'[1]liste reference'!$B$6:$B$1174,0),(MATCH($T$93,'[1]liste reference'!$A$6:$A$1174,0)))</f>
        <v>59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93</v>
      </c>
      <c r="S92" s="8"/>
      <c r="T92" s="8" t="n">
        <f aca="false">MATCH(T89,$V$23:$V$82,0)</f>
        <v>2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94</v>
      </c>
      <c r="S93" s="8"/>
      <c r="T93" s="212" t="str">
        <f aca="false">INDEX($A$23:$A$82,$T$92)</f>
        <v>LEASPX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2016-04-05T12:05:27Z</dcterms:created>
  <dc:creator>laurianne isebe</dc:creator>
  <dc:description/>
  <dc:language>fr-FR</dc:language>
  <cp:lastModifiedBy>laurianne isebe</cp:lastModifiedBy>
  <dcterms:modified xsi:type="dcterms:W3CDTF">2016-04-05T12:05:31Z</dcterms:modified>
  <cp:revision>0</cp:revision>
  <dc:subject/>
  <dc:title/>
</cp:coreProperties>
</file>