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<sst xmlns="http://schemas.openxmlformats.org/spreadsheetml/2006/main" count="98" uniqueCount="93">
  <si>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</si>
  <si>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</si>
  <si>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</si>
  <si>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M.SCHNEIDER L.BOURGOIN</t>
  </si>
  <si>
    <t xml:space="preserve">conforme AFNOR T90-395 oct. 2003</t>
  </si>
  <si>
    <t xml:space="preserve">Eyrieux</t>
  </si>
  <si>
    <t xml:space="preserve">Eyrieux au Chelard</t>
  </si>
  <si>
    <t xml:space="preserve">06106920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</si>
  <si>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</si>
  <si>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</si>
  <si>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</si>
  <si>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</si>
  <si>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</si>
  <si>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</si>
  <si>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</si>
  <si>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</si>
  <si>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SPISPX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</si>
  <si>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</si>
  <si>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</si>
  <si>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</si>
  <si>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</si>
  <si>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</si>
  <si>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</si>
  <si>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</si>
  <si>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</si>
  <si>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</si>
  <si>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</si>
  <si>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</si>
  <si>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</si>
  <si>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</si>
  <si>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</si>
  <si>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</si>
  <si>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</si>
  <si>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</si>
  <si>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</si>
  <si>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</si>
  <si>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</si>
  <si>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</si>
  <si>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</si>
  <si>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</si>
  <si>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</si>
  <si>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</si>
  <si>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</si>
  <si>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</si>
  <si>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</si>
  <si>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</si>
  <si>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</si>
  <si>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</si>
  <si>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</si>
  <si>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</si>
  <si>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</si>
  <si>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</si>
  <si>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</si>
  <si>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</si>
  <si>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</si>
  <si>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</si>
  <si>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</si>
  <si>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</si>
  <si>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</si>
  <si>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</si>
  <si>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</si>
  <si>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</si>
  <si>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</si>
  <si>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</si>
  <si>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</si>
  <si>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</si>
  <si>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</si>
  <si>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</si>
  <si>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</si>
  <si>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</si>
  <si>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</si>
  <si>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</si>
  <si>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</si>
  <si>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</si>
  <si>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</si>
  <si>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</si>
  <si>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</si>
  <si>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MELSPX</t>
  </si>
  <si>
    <t xml:space="preserve">AMBFLU</t>
  </si>
  <si>
    <t xml:space="preserve">FONANT</t>
  </si>
  <si>
    <t xml:space="preserve">PHAARU</t>
  </si>
  <si>
    <t xml:space="preserve">newcod</t>
  </si>
  <si>
    <t xml:space="preserve">Gomphoneis sp.</t>
  </si>
  <si>
    <t xml:space="preserve">Leptolyngbia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</si>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</sst>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EYCHE_16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10.2222222222222</v>
      </c>
      <c r="M5" s="53"/>
      <c r="N5" s="54" t="s">
        <v>16</v>
      </c>
      <c r="O5" s="55" t="n">
        <v>10.4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25</v>
      </c>
      <c r="C7" s="67" t="n">
        <v>75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10.2</v>
      </c>
      <c r="O8" s="84" t="n">
        <f aca="false">IF(ISERROR(AVERAGE(J23:J82)),"      -",AVERAGE(J23:J82))</f>
        <v>1.2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2.03</v>
      </c>
      <c r="C9" s="87" t="n">
        <v>14.03</v>
      </c>
      <c r="D9" s="88"/>
      <c r="E9" s="88"/>
      <c r="F9" s="89" t="n">
        <f aca="false">($B9*$B$7+$C9*$C$7)/100</f>
        <v>11.03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0.4</v>
      </c>
      <c r="O9" s="84" t="n">
        <f aca="false">IF(ISERROR(STDEVP(J23:J82)),"      -",STDEVP(J23:J82))</f>
        <v>0.4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11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2.03</v>
      </c>
      <c r="C12" s="119" t="n">
        <v>14</v>
      </c>
      <c r="D12" s="111"/>
      <c r="E12" s="111"/>
      <c r="F12" s="112" t="n">
        <f aca="false">($B12*$B$7+$C12*$C$7)/100</f>
        <v>11.0075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0.02</v>
      </c>
      <c r="D13" s="111"/>
      <c r="E13" s="111"/>
      <c r="F13" s="112" t="n">
        <f aca="false">($B13*$B$7+$C13*$C$7)/100</f>
        <v>0.015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2</v>
      </c>
      <c r="L13" s="116"/>
      <c r="M13" s="127" t="s">
        <v>41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0.01</v>
      </c>
      <c r="D15" s="111"/>
      <c r="E15" s="111"/>
      <c r="F15" s="112" t="n">
        <f aca="false">($B15*$B$7+$C15*$C$7)/100</f>
        <v>0.0075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2.03</v>
      </c>
      <c r="C17" s="119" t="n">
        <v>14.02</v>
      </c>
      <c r="D17" s="111"/>
      <c r="E17" s="111"/>
      <c r="F17" s="143"/>
      <c r="G17" s="112" t="n">
        <f aca="false">($B17*$B$7+$C17*$C$7)/100</f>
        <v>11.0225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0.0075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11.03</v>
      </c>
      <c r="G19" s="156" t="n">
        <f aca="false">SUM(G16:G18)</f>
        <v>11.03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2.03</v>
      </c>
      <c r="C20" s="166" t="n">
        <f aca="false">SUM(C23:C82)</f>
        <v>14.03</v>
      </c>
      <c r="D20" s="167"/>
      <c r="E20" s="168" t="s">
        <v>53</v>
      </c>
      <c r="F20" s="169" t="n">
        <f aca="false">($B20*$B$7+$C20*$C$7)/100</f>
        <v>11.03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0.5075</v>
      </c>
      <c r="C21" s="179" t="n">
        <f aca="false">C20*C7/100</f>
        <v>10.5225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11.03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Melosira sp.</v>
      </c>
      <c r="E23" s="207" t="e">
        <f aca="false">IF(D23="",0,VLOOKUP(D23,D$22:D22,1,0))</f>
        <v>#N/A</v>
      </c>
      <c r="F23" s="208" t="n">
        <f aca="false">($B23*$B$7+$C23*$C$7)/100</f>
        <v>0.0025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Melosira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8714</v>
      </c>
      <c r="Q23" s="216" t="n">
        <f aca="false">IF(ISTEXT(H23),"",(B23*$B$7/100)+(C23*$C$7/100))</f>
        <v>0.0025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10</v>
      </c>
      <c r="T23" s="217" t="n">
        <f aca="false">IF(ISERROR(R23*I23*J23),0,R23*I23*J23)</f>
        <v>10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MELSPX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2</v>
      </c>
      <c r="C24" s="225" t="n">
        <v>14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Spirogyra sp.</v>
      </c>
      <c r="E24" s="226" t="e">
        <f aca="false">IF(D24="",0,VLOOKUP(D24,D$22:D23,1,0))</f>
        <v>#N/A</v>
      </c>
      <c r="F24" s="227" t="n">
        <f aca="false">($B24*$B$7+$C24*$C$7)/100</f>
        <v>11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Spirogyra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1147</v>
      </c>
      <c r="Q24" s="216" t="n">
        <f aca="false">IF(ISTEXT(H24),"",(B24*$B$7/100)+(C24*$C$7/100))</f>
        <v>11</v>
      </c>
      <c r="R24" s="217" t="n">
        <f aca="false">IF(OR(ISTEXT(H24),Q24=0),"",IF(Q24&lt;0.1,1,IF(Q24&lt;1,2,IF(Q24&lt;10,3,IF(Q24&lt;50,4,IF(Q24&gt;=50,5,""))))))</f>
        <v>4</v>
      </c>
      <c r="S24" s="217" t="n">
        <f aca="false">IF(ISERROR(R24*I24),0,R24*I24)</f>
        <v>40</v>
      </c>
      <c r="T24" s="217" t="n">
        <f aca="false">IF(ISERROR(R24*I24*J24),0,R24*I24*J24)</f>
        <v>40</v>
      </c>
      <c r="U24" s="229" t="n">
        <f aca="false">IF(ISERROR(R24*J24),0,R24*J24)</f>
        <v>4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SPISPX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69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Amblystegium fluviatile</v>
      </c>
      <c r="E25" s="226" t="e">
        <f aca="false">IF(D25="",0,VLOOKUP(D25,D$22:D24,1,0))</f>
        <v>#N/A</v>
      </c>
      <c r="F25" s="227" t="n">
        <f aca="false">($B25*$B$7+$C25*$C$7)/100</f>
        <v>0.0075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11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Amblystegium fluviatile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1223</v>
      </c>
      <c r="Q25" s="216" t="n">
        <f aca="false">IF(ISTEXT(H25),"",(B25*$B$7/100)+(C25*$C$7/100))</f>
        <v>0.0075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11</v>
      </c>
      <c r="T25" s="217" t="n">
        <f aca="false">IF(ISERROR(R25*I25*J25),0,R25*I25*J25)</f>
        <v>22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AMBFLU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</v>
      </c>
      <c r="C26" s="225" t="n">
        <v>0.01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Fontinalis antipyretica</v>
      </c>
      <c r="E26" s="226" t="e">
        <f aca="false">IF(D26="",0,VLOOKUP(D26,D$22:D25,1,0))</f>
        <v>#N/A</v>
      </c>
      <c r="F26" s="227" t="n">
        <f aca="false">($B26*$B$7+$C26*$C$7)/100</f>
        <v>0.0075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Fontinalis antipyretica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1310</v>
      </c>
      <c r="Q26" s="216" t="n">
        <f aca="false">IF(ISTEXT(H26),"",(B26*$B$7/100)+(C26*$C$7/100))</f>
        <v>0.0075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10</v>
      </c>
      <c r="T26" s="217" t="n">
        <f aca="false">IF(ISERROR(R26*I26*J26),0,R26*I26*J26)</f>
        <v>10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FONANT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210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</v>
      </c>
      <c r="C27" s="225" t="n">
        <v>0.01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Phalaris arundinacea</v>
      </c>
      <c r="E27" s="226" t="e">
        <f aca="false">IF(D27="",0,VLOOKUP(D27,D$22:D26,1,0))</f>
        <v>#N/A</v>
      </c>
      <c r="F27" s="227" t="n">
        <f aca="false">($B27*$B$7+$C27*$C$7)/100</f>
        <v>0.0075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PHe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8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Phalaris arundinacea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1577</v>
      </c>
      <c r="Q27" s="216" t="n">
        <f aca="false">IF(ISTEXT(H27),"",(B27*$B$7/100)+(C27*$C$7/100))</f>
        <v>0.0075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PHAARU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634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0.01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0.0025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    -</v>
      </c>
      <c r="H28" s="210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Gomphoneis sp.</v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No</v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newcod</v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1"/>
      <c r="AB28" s="222" t="s">
        <v>82</v>
      </c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81</v>
      </c>
      <c r="B29" s="224" t="n">
        <v>0.01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0.0025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    -</v>
      </c>
      <c r="H29" s="210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Leptolyngbia sp.</v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No</v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newcod</v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1"/>
      <c r="AB29" s="222" t="s">
        <v>83</v>
      </c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Eyrieux</v>
      </c>
      <c r="B84" s="259" t="str">
        <f aca="false">C3</f>
        <v>Eyrieux au Chelard</v>
      </c>
      <c r="C84" s="260" t="n">
        <f aca="false">A4</f>
        <v>41806</v>
      </c>
      <c r="D84" s="261" t="n">
        <f aca="false">IF(ISERROR(SUM($T$23:$T$82)/SUM($U$23:$U$82)),"",SUM($T$23:$T$82)/SUM($U$23:$U$82))</f>
        <v>10.2222222222222</v>
      </c>
      <c r="E84" s="262" t="n">
        <f aca="false">N13</f>
        <v>7</v>
      </c>
      <c r="F84" s="259" t="n">
        <f aca="false">N14</f>
        <v>5</v>
      </c>
      <c r="G84" s="259" t="n">
        <f aca="false">N15</f>
        <v>4</v>
      </c>
      <c r="H84" s="259" t="n">
        <f aca="false">N16</f>
        <v>1</v>
      </c>
      <c r="I84" s="259" t="n">
        <f aca="false">N17</f>
        <v>0</v>
      </c>
      <c r="J84" s="263" t="n">
        <f aca="false">N8</f>
        <v>10.2</v>
      </c>
      <c r="K84" s="261" t="n">
        <f aca="false">N9</f>
        <v>0.4</v>
      </c>
      <c r="L84" s="262" t="n">
        <f aca="false">N10</f>
        <v>10</v>
      </c>
      <c r="M84" s="262" t="n">
        <f aca="false">N11</f>
        <v>11</v>
      </c>
      <c r="N84" s="261" t="n">
        <f aca="false">O8</f>
        <v>1.2</v>
      </c>
      <c r="O84" s="261" t="n">
        <f aca="false">O9</f>
        <v>0.4</v>
      </c>
      <c r="P84" s="262" t="n">
        <f aca="false">O10</f>
        <v>1</v>
      </c>
      <c r="Q84" s="262" t="n">
        <f aca="false">O11</f>
        <v>2</v>
      </c>
      <c r="R84" s="262" t="n">
        <f aca="false">F21</f>
        <v>11.03</v>
      </c>
      <c r="S84" s="262" t="n">
        <f aca="false">K11</f>
        <v>0</v>
      </c>
      <c r="T84" s="262" t="n">
        <f aca="false">K12</f>
        <v>2</v>
      </c>
      <c r="U84" s="262" t="n">
        <f aca="false">K13</f>
        <v>2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10.4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SPISPX</v>
      </c>
      <c r="T91" s="10" t="n">
        <f aca="false">IF(ISERROR(MATCH($S$93,'[2]liste reference'!$A$8:$A$904,0)),MATCH($S$93,'[2]liste reference'!$B$8:$B$904,0),(MATCH($S$93,'[2]liste reference'!$A$8:$A$904,0)))</f>
        <v>69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SPISPX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2014-12-15T16:26:59Z</dcterms:created>
  <dc:creator>Laurent Bourgoin</dc:creator>
  <dc:description/>
  <dc:language>fr-FR</dc:language>
  <cp:lastModifiedBy>Laurent Bourgoin</cp:lastModifiedBy>
  <dcterms:modified xsi:type="dcterms:W3CDTF">2014-12-15T16:27:05Z</dcterms:modified>
  <cp:revision>0</cp:revision>
  <dc:subject/>
  <dc:title/>
</cp:coreProperties>
</file>