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<sst xmlns="http://schemas.openxmlformats.org/spreadsheetml/2006/main" count="104" uniqueCount="98">
  <si>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</si>
  <si>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</si>
  <si>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</si>
  <si>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BOURGOIN BERNARD</t>
  </si>
  <si>
    <t xml:space="preserve">conforme AFNOR T90-395 oct. 2003</t>
  </si>
  <si>
    <t xml:space="preserve">Roanne</t>
  </si>
  <si>
    <t xml:space="preserve">Roanne à St Benoit en Diois</t>
  </si>
  <si>
    <t xml:space="preserve">06107980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</si>
  <si>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</si>
  <si>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</si>
  <si>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</si>
  <si>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</si>
  <si>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</si>
  <si>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</si>
  <si>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</si>
  <si>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</si>
  <si>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</si>
  <si>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</si>
  <si>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</si>
  <si>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</si>
  <si>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</si>
  <si>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</si>
  <si>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</si>
  <si>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</si>
  <si>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</si>
  <si>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</si>
  <si>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</si>
  <si>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</si>
  <si>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</si>
  <si>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</si>
  <si>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</si>
  <si>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</si>
  <si>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</si>
  <si>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</si>
  <si>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</si>
  <si>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</si>
  <si>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</si>
  <si>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</si>
  <si>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</si>
  <si>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</si>
  <si>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</si>
  <si>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</si>
  <si>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</si>
  <si>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</si>
  <si>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</si>
  <si>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</si>
  <si>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</si>
  <si>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</si>
  <si>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</si>
  <si>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</si>
  <si>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</si>
  <si>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</si>
  <si>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</si>
  <si>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</si>
  <si>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</si>
  <si>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</si>
  <si>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</si>
  <si>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</si>
  <si>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</si>
  <si>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</si>
  <si>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</si>
  <si>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</si>
  <si>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</si>
  <si>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</si>
  <si>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</si>
  <si>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</si>
  <si>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</si>
  <si>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</si>
  <si>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</si>
  <si>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</si>
  <si>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</si>
  <si>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</si>
  <si>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</si>
  <si>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</si>
  <si>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</si>
  <si>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</si>
  <si>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</si>
  <si>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</si>
  <si>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</si>
  <si>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DIASPX</t>
  </si>
  <si>
    <t xml:space="preserve">MELSPX</t>
  </si>
  <si>
    <t xml:space="preserve">TOYSPX</t>
  </si>
  <si>
    <t xml:space="preserve">JUGATR</t>
  </si>
  <si>
    <t xml:space="preserve">PELEND</t>
  </si>
  <si>
    <t xml:space="preserve">BRYSPX</t>
  </si>
  <si>
    <t xml:space="preserve">EQUSPX</t>
  </si>
  <si>
    <t xml:space="preserve">newcod</t>
  </si>
  <si>
    <t xml:space="preserve">Salix elaeagnos </t>
  </si>
  <si>
    <t xml:space="preserve">Salix purpurea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</si>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</sst>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00CCFF"/>
        <bgColor rgb="FF33CCCC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6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OABE_25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41450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14.3571428571429</v>
      </c>
      <c r="M5" s="53"/>
      <c r="N5" s="54" t="s">
        <v>16</v>
      </c>
      <c r="O5" s="55" t="n">
        <v>15.375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14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2.13</v>
      </c>
      <c r="C9" s="87" t="n">
        <v>0.87</v>
      </c>
      <c r="D9" s="88"/>
      <c r="E9" s="88"/>
      <c r="F9" s="89" t="n">
        <f aca="false">($B9*$B$7+$C9*$C$7)/100</f>
        <v>2.004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3.16227766016838</v>
      </c>
      <c r="O9" s="84" t="n">
        <f aca="false">IF(ISERROR(STDEVP(J23:J82)),"      -",STDEVP(J23:J82))</f>
        <v>0.632455532033676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2.12</v>
      </c>
      <c r="C12" s="119" t="n">
        <v>0.83</v>
      </c>
      <c r="D12" s="111"/>
      <c r="E12" s="111"/>
      <c r="F12" s="112" t="n">
        <f aca="false">($B12*$B$7+$C12*$C$7)/100</f>
        <v>1.991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0.01</v>
      </c>
      <c r="C13" s="119" t="n">
        <v>0.01</v>
      </c>
      <c r="D13" s="111"/>
      <c r="E13" s="111"/>
      <c r="F13" s="112" t="n">
        <f aca="false">($B13*$B$7+$C13*$C$7)/100</f>
        <v>0.01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0.03</v>
      </c>
      <c r="D15" s="111"/>
      <c r="E15" s="111"/>
      <c r="F15" s="112" t="n">
        <f aca="false">($B15*$B$7+$C15*$C$7)/100</f>
        <v>0.003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2.13</v>
      </c>
      <c r="C17" s="119" t="n">
        <v>0.84</v>
      </c>
      <c r="D17" s="111"/>
      <c r="E17" s="111"/>
      <c r="F17" s="143"/>
      <c r="G17" s="112" t="n">
        <f aca="false">($B17*$B$7+$C17*$C$7)/100</f>
        <v>2.001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0.03</v>
      </c>
      <c r="D18" s="111"/>
      <c r="E18" s="147" t="s">
        <v>54</v>
      </c>
      <c r="F18" s="143"/>
      <c r="G18" s="112" t="n">
        <f aca="false">($B18*$B$7+$C18*$C$7)/100</f>
        <v>0.003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2.004</v>
      </c>
      <c r="G19" s="156" t="n">
        <f aca="false">SUM(G16:G18)</f>
        <v>2.004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2.131</v>
      </c>
      <c r="C20" s="166" t="n">
        <f aca="false">SUM(C23:C82)</f>
        <v>0.891</v>
      </c>
      <c r="D20" s="167"/>
      <c r="E20" s="168" t="s">
        <v>54</v>
      </c>
      <c r="F20" s="169" t="n">
        <f aca="false">($B20*$B$7+$C20*$C$7)/100</f>
        <v>2.007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1.9179</v>
      </c>
      <c r="C21" s="179" t="n">
        <f aca="false">C20*C7/100</f>
        <v>0.0891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2.007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7" t="e">
        <f aca="false">IF(D23="",0,VLOOKUP(D23,D$22:D22,1,0))</f>
        <v>#N/A</v>
      </c>
      <c r="F23" s="208" t="n">
        <f aca="false">($B23*$B$7+$C23*$C$7)/100</f>
        <v>0.01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6" t="n">
        <f aca="false">IF(ISTEXT(H23),"",(B23*$B$7/100)+(C23*$C$7/100))</f>
        <v>0.01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16</v>
      </c>
      <c r="T23" s="217" t="n">
        <f aca="false">IF(ISERROR(R23*I23*J23),0,R23*I23*J23)</f>
        <v>32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0.3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0.039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0.039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12</v>
      </c>
      <c r="T24" s="217" t="n">
        <f aca="false">IF(ISERROR(R24*I24*J24),0,R24*I24*J24)</f>
        <v>24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0.001</v>
      </c>
      <c r="C25" s="225" t="n">
        <v>0.001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Melosira sp.</v>
      </c>
      <c r="E25" s="226" t="e">
        <f aca="false">IF(D25="",0,VLOOKUP(D25,D$22:D24,1,0))</f>
        <v>#N/A</v>
      </c>
      <c r="F25" s="227" t="n">
        <f aca="false">($B25*$B$7+$C25*$C$7)/100</f>
        <v>0.001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Melosira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6" t="n">
        <f aca="false">IF(ISTEXT(H25),"",(B25*$B$7/100)+(C25*$C$7/100))</f>
        <v>0.001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10</v>
      </c>
      <c r="T25" s="217" t="n">
        <f aca="false">IF(ISERROR(R25*I25*J25),0,R25*I25*J25)</f>
        <v>10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MELSPX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36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16</v>
      </c>
      <c r="B26" s="224" t="n">
        <v>2</v>
      </c>
      <c r="C26" s="225" t="n">
        <v>0.31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1.831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6" t="n">
        <f aca="false">IF(ISTEXT(H26),"",(B26*$B$7/100)+(C26*$C$7/100))</f>
        <v>1.831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39</v>
      </c>
      <c r="T26" s="217" t="n">
        <f aca="false">IF(ISERROR(R26*I26*J26),0,R26*I26*J26)</f>
        <v>78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0.1</v>
      </c>
      <c r="C27" s="225" t="n">
        <v>0.21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Tolypothrix sp.</v>
      </c>
      <c r="E27" s="226" t="e">
        <f aca="false">IF(D27="",0,VLOOKUP(D27,D$22:D26,1,0))</f>
        <v>#N/A</v>
      </c>
      <c r="F27" s="227" t="n">
        <f aca="false">($B27*$B$7+$C27*$C$7)/100</f>
        <v>0.111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Tolypothrix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6304</v>
      </c>
      <c r="Q27" s="216" t="n">
        <f aca="false">IF(ISTEXT(H27),"",(B27*$B$7/100)+(C27*$C$7/100))</f>
        <v>0.111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TOYSPX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Jungermannia atrovirens</v>
      </c>
      <c r="E28" s="226" t="e">
        <f aca="false">IF(D28="",0,VLOOKUP(D28,D$22:D27,1,0))</f>
        <v>#N/A</v>
      </c>
      <c r="F28" s="227" t="n">
        <f aca="false">($B28*$B$7+$C28*$C$7)/100</f>
        <v>0.001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BRh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4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19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Jungermannia atrovirens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19820</v>
      </c>
      <c r="Q28" s="216" t="n">
        <f aca="false">IF(ISTEXT(H28),"",(B28*$B$7/100)+(C28*$C$7/100))</f>
        <v>0.001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19</v>
      </c>
      <c r="T28" s="217" t="n">
        <f aca="false">IF(ISERROR(R28*I28*J28),0,R28*I28*J28)</f>
        <v>57</v>
      </c>
      <c r="U28" s="229" t="n">
        <f aca="false">IF(ISERROR(R28*J28),0,R28*J28)</f>
        <v>3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JUGATR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101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Pellia endiviifolia</v>
      </c>
      <c r="E29" s="226" t="e">
        <f aca="false">IF(D29="",0,VLOOKUP(D29,D$22:D28,1,0))</f>
        <v>#N/A</v>
      </c>
      <c r="F29" s="227" t="n">
        <f aca="false">($B29*$B$7+$C29*$C$7)/100</f>
        <v>0.001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BRh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4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Pellia endiviifolia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1197</v>
      </c>
      <c r="Q29" s="216" t="n">
        <f aca="false">IF(ISTEXT(H29),"",(B29*$B$7/100)+(C29*$C$7/100))</f>
        <v>0.001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PELEND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120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Bryum sp.</v>
      </c>
      <c r="E30" s="226" t="e">
        <f aca="false">IF(D30="",0,VLOOKUP(D30,D$22:D29,1,0))</f>
        <v>#N/A</v>
      </c>
      <c r="F30" s="227" t="n">
        <f aca="false">($B30*$B$7+$C30*$C$7)/100</f>
        <v>0.01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Bryum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1272</v>
      </c>
      <c r="Q30" s="216" t="n">
        <f aca="false">IF(ISTEXT(H30),"",(B30*$B$7/100)+(C30*$C$7/100))</f>
        <v>0.01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BRYSPX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162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Equisetum sp.</v>
      </c>
      <c r="E31" s="226" t="e">
        <f aca="false">IF(D31="",0,VLOOKUP(D31,D$22:D30,1,0))</f>
        <v>#N/A</v>
      </c>
      <c r="F31" s="227" t="n">
        <f aca="false">($B31*$B$7+$C31*$C$7)/100</f>
        <v>0.001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PTE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6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Equisetum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1383</v>
      </c>
      <c r="Q31" s="216" t="n">
        <f aca="false">IF(ISTEXT(H31),"",(B31*$B$7/100)+(C31*$C$7/100))</f>
        <v>0.001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EQUSPX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283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0.001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    -</v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Salix elaeagnos </v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No</v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newcod</v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 t="s">
        <v>87</v>
      </c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86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0.001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    -</v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Salix purpurea</v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No</v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newcod</v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 t="s">
        <v>88</v>
      </c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Roanne</v>
      </c>
      <c r="B84" s="259" t="str">
        <f aca="false">C3</f>
        <v>Roanne à St Benoit en Diois</v>
      </c>
      <c r="C84" s="260" t="n">
        <f aca="false">A4</f>
        <v>41450</v>
      </c>
      <c r="D84" s="261" t="n">
        <f aca="false">IF(ISERROR(SUM($T$23:$T$82)/SUM($U$23:$U$82)),"",SUM($T$23:$T$82)/SUM($U$23:$U$82))</f>
        <v>14.3571428571429</v>
      </c>
      <c r="E84" s="262" t="n">
        <f aca="false">N13</f>
        <v>11</v>
      </c>
      <c r="F84" s="259" t="n">
        <f aca="false">N14</f>
        <v>5</v>
      </c>
      <c r="G84" s="259" t="n">
        <f aca="false">N15</f>
        <v>1</v>
      </c>
      <c r="H84" s="259" t="n">
        <f aca="false">N16</f>
        <v>3</v>
      </c>
      <c r="I84" s="259" t="n">
        <f aca="false">N17</f>
        <v>1</v>
      </c>
      <c r="J84" s="263" t="n">
        <f aca="false">N8</f>
        <v>14</v>
      </c>
      <c r="K84" s="261" t="n">
        <f aca="false">N9</f>
        <v>3.16227766016838</v>
      </c>
      <c r="L84" s="262" t="n">
        <f aca="false">N10</f>
        <v>10</v>
      </c>
      <c r="M84" s="262" t="n">
        <f aca="false">N11</f>
        <v>19</v>
      </c>
      <c r="N84" s="261" t="n">
        <f aca="false">O8</f>
        <v>2</v>
      </c>
      <c r="O84" s="261" t="n">
        <f aca="false">O9</f>
        <v>0.632455532033676</v>
      </c>
      <c r="P84" s="262" t="n">
        <f aca="false">O10</f>
        <v>1</v>
      </c>
      <c r="Q84" s="262" t="n">
        <f aca="false">O11</f>
        <v>3</v>
      </c>
      <c r="R84" s="262" t="n">
        <f aca="false">F21</f>
        <v>2.007</v>
      </c>
      <c r="S84" s="262" t="n">
        <f aca="false">K11</f>
        <v>0</v>
      </c>
      <c r="T84" s="262" t="n">
        <f aca="false">K12</f>
        <v>5</v>
      </c>
      <c r="U84" s="262" t="n">
        <f aca="false">K13</f>
        <v>3</v>
      </c>
      <c r="V84" s="264" t="n">
        <f aca="false">K14</f>
        <v>1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90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8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8" t="n">
        <f aca="false">IF(ISERROR(SUM($T$23:$T$82)/SUM($U$23:$U$82)),"",(SUM($T$23:$T$82)-S88)/(SUM($U$23:$U$82)-S89))</f>
        <v>15.375</v>
      </c>
      <c r="T90" s="10"/>
    </row>
    <row r="91" customFormat="false" ht="12.75" hidden="false" customHeight="false" outlineLevel="0" collapsed="false">
      <c r="Q91" s="217" t="s">
        <v>95</v>
      </c>
      <c r="R91" s="217"/>
      <c r="S91" s="217" t="str">
        <f aca="false">INDEX('[1]liste reference'!$A$8:$A$904,$T$91)</f>
        <v>PHOSPX</v>
      </c>
      <c r="T91" s="10" t="n">
        <f aca="false">IF(ISERROR(MATCH($S$93,'[1]liste reference'!$A$8:$A$904,0)),MATCH($S$93,'[1]liste reference'!$B$8:$B$904,0),(MATCH($S$93,'[1]liste reference'!$A$8:$A$904,0)))</f>
        <v>57</v>
      </c>
      <c r="U91" s="257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7" t="s">
        <v>97</v>
      </c>
      <c r="R93" s="10"/>
      <c r="S93" s="217" t="str">
        <f aca="false">INDEX($A$23:$A$82,$S$92)</f>
        <v>PHOSPX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2013-12-19T10:30:00Z</dcterms:created>
  <dc:creator>li</dc:creator>
  <dc:description/>
  <dc:language>fr-FR</dc:language>
  <cp:lastModifiedBy>li</cp:lastModifiedBy>
  <dcterms:modified xsi:type="dcterms:W3CDTF">2013-12-19T10:30:04Z</dcterms:modified>
  <cp:revision>0</cp:revision>
  <dc:subject/>
  <dc:title/>
</cp:coreProperties>
</file>