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<sst xmlns="http://schemas.openxmlformats.org/spreadsheetml/2006/main" count="112" uniqueCount="107">
  <si>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</si>
  <si>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</si>
  <si>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</si>
  <si>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L.BOURGUOIN M. SCHNEIDER</t>
  </si>
  <si>
    <t xml:space="preserve">conforme AFNOR T90-395 oct. 2003</t>
  </si>
  <si>
    <t xml:space="preserve">RHONE</t>
  </si>
  <si>
    <t xml:space="preserve">RHONE A ROCHEMAURE</t>
  </si>
  <si>
    <t xml:space="preserve">06110400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</si>
  <si>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</si>
  <si>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</si>
  <si>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</si>
  <si>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</si>
  <si>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</si>
  <si>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</si>
  <si>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</si>
  <si>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</si>
  <si>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</si>
  <si>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</si>
  <si>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chenal lotique</t>
  </si>
  <si>
    <t xml:space="preserve">plat lentique </t>
  </si>
  <si>
    <t xml:space="preserve">niv. trophique:</t>
  </si>
  <si>
    <t xml:space="preserve">fort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</si>
  <si>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</si>
  <si>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</si>
  <si>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</si>
  <si>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</si>
  <si>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</si>
  <si>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</si>
  <si>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</si>
  <si>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</si>
  <si>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</si>
  <si>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</si>
  <si>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</si>
  <si>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</si>
  <si>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</si>
  <si>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</si>
  <si>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</si>
  <si>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</si>
  <si>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</si>
  <si>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</si>
  <si>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</si>
  <si>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</si>
  <si>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</si>
  <si>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</si>
  <si>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</si>
  <si>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</si>
  <si>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</si>
  <si>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</si>
  <si>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</si>
  <si>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</si>
  <si>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</si>
  <si>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</si>
  <si>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</si>
  <si>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</si>
  <si>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</si>
  <si>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</si>
  <si>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</si>
  <si>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</si>
  <si>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</si>
  <si>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</si>
  <si>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</si>
  <si>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</si>
  <si>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</si>
  <si>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</si>
  <si>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</si>
  <si>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</si>
  <si>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</si>
  <si>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</si>
  <si>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</si>
  <si>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</si>
  <si>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</si>
  <si>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</si>
  <si>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</si>
  <si>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</si>
  <si>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</si>
  <si>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</si>
  <si>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</si>
  <si>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</si>
  <si>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</si>
  <si>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OEDSPX</t>
  </si>
  <si>
    <t xml:space="preserve">SPISPX</t>
  </si>
  <si>
    <t xml:space="preserve">VAUSPX</t>
  </si>
  <si>
    <t xml:space="preserve">CINRIP</t>
  </si>
  <si>
    <t xml:space="preserve">EQUSPX</t>
  </si>
  <si>
    <t xml:space="preserve">LEMMIN</t>
  </si>
  <si>
    <t xml:space="preserve">POTNOD</t>
  </si>
  <si>
    <t xml:space="preserve">AGRSTO</t>
  </si>
  <si>
    <t xml:space="preserve">CARACT</t>
  </si>
  <si>
    <t xml:space="preserve">CARRIP</t>
  </si>
  <si>
    <t xml:space="preserve">LUDPEP</t>
  </si>
  <si>
    <t xml:space="preserve">LYSVUL</t>
  </si>
  <si>
    <t xml:space="preserve">LYTSAL</t>
  </si>
  <si>
    <t xml:space="preserve">PHAARU</t>
  </si>
  <si>
    <t xml:space="preserve">PHRAUS</t>
  </si>
  <si>
    <t xml:space="preserve">SCILAC</t>
  </si>
  <si>
    <t xml:space="preserve">RORPAL</t>
  </si>
  <si>
    <t xml:space="preserve">newcod</t>
  </si>
  <si>
    <t xml:space="preserve">Persicaria maculosa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</si>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</sst>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HORO_23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41905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8.42105263157895</v>
      </c>
      <c r="M5" s="53"/>
      <c r="N5" s="54" t="s">
        <v>16</v>
      </c>
      <c r="O5" s="55" t="n">
        <v>7.88235294117647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8.58333333333333</v>
      </c>
      <c r="O8" s="84" t="n">
        <f aca="false">IF(ISERROR(AVERAGE(J23:J82)),"      -",AVERAGE(J23:J82))</f>
        <v>1.58333333333333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0.056</v>
      </c>
      <c r="C9" s="87" t="n">
        <v>14.28</v>
      </c>
      <c r="D9" s="88"/>
      <c r="E9" s="88"/>
      <c r="F9" s="89" t="n">
        <f aca="false">($B9*$B$7+$C9*$C$7)/100</f>
        <v>0.34048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2.92854723180093</v>
      </c>
      <c r="O9" s="84" t="n">
        <f aca="false">IF(ISERROR(STDEVP(J23:J82)),"      -",STDEVP(J23:J82))</f>
        <v>0.640095478989051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0.055</v>
      </c>
      <c r="C12" s="119"/>
      <c r="D12" s="111"/>
      <c r="E12" s="111"/>
      <c r="F12" s="112" t="n">
        <f aca="false">($B12*$B$7+$C12*$C$7)/100</f>
        <v>0.0539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0.001</v>
      </c>
      <c r="C13" s="119"/>
      <c r="D13" s="111"/>
      <c r="E13" s="111"/>
      <c r="F13" s="112" t="n">
        <f aca="false">($B13*$B$7+$C13*$C$7)/100</f>
        <v>0.00098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1</v>
      </c>
      <c r="L13" s="116"/>
      <c r="M13" s="127" t="s">
        <v>42</v>
      </c>
      <c r="N13" s="128" t="n">
        <f aca="false">COUNTIF(F23:F82,"&gt;0")</f>
        <v>20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12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14.28</v>
      </c>
      <c r="D15" s="111"/>
      <c r="E15" s="111"/>
      <c r="F15" s="112" t="n">
        <f aca="false">($B15*$B$7+$C15*$C$7)/100</f>
        <v>0.2856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12</v>
      </c>
      <c r="L15" s="116"/>
      <c r="M15" s="137" t="s">
        <v>48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0.056</v>
      </c>
      <c r="C17" s="119" t="n">
        <v>0.02</v>
      </c>
      <c r="D17" s="111"/>
      <c r="E17" s="111"/>
      <c r="F17" s="143"/>
      <c r="G17" s="112" t="n">
        <f aca="false">($B17*$B$7+$C17*$C$7)/100</f>
        <v>0.05528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14.26</v>
      </c>
      <c r="D18" s="111"/>
      <c r="E18" s="147" t="s">
        <v>54</v>
      </c>
      <c r="F18" s="143"/>
      <c r="G18" s="112" t="n">
        <f aca="false">($B18*$B$7+$C18*$C$7)/100</f>
        <v>0.2852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0.34048</v>
      </c>
      <c r="G19" s="156" t="n">
        <f aca="false">SUM(G16:G18)</f>
        <v>0.34048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0.0567197835237523</v>
      </c>
      <c r="C20" s="166" t="n">
        <f aca="false">SUM(C23:C82)</f>
        <v>14.28</v>
      </c>
      <c r="D20" s="167"/>
      <c r="E20" s="168" t="s">
        <v>54</v>
      </c>
      <c r="F20" s="169" t="n">
        <f aca="false">($B20*$B$7+$C20*$C$7)/100</f>
        <v>0.341185387853277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0.0555853878532772</v>
      </c>
      <c r="C21" s="179" t="n">
        <f aca="false">C20*C7/100</f>
        <v>0.2856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0.341185387853277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0.052452295049108</v>
      </c>
      <c r="C23" s="205" t="n">
        <v>0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0.0514032491481259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0.0514032491481259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0.00143690118260172</v>
      </c>
      <c r="C24" s="224" t="n">
        <v>0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Oedogonium sp.</v>
      </c>
      <c r="E24" s="225" t="e">
        <f aca="false">IF(D24="",0,VLOOKUP(D24,D$22:D23,1,0))</f>
        <v>#N/A</v>
      </c>
      <c r="F24" s="226" t="n">
        <f aca="false">($B24*$B$7+$C24*$C$7)/100</f>
        <v>0.00140816315894969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Oedogonium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1134</v>
      </c>
      <c r="Q24" s="215" t="n">
        <f aca="false">IF(ISTEXT(H24),"",(B24*$B$7/100)+(C24*$C$7/100))</f>
        <v>0.00140816315894969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6</v>
      </c>
      <c r="T24" s="216" t="n">
        <f aca="false">IF(ISERROR(R24*I24*J24),0,R24*I24*J24)</f>
        <v>12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OEDSPX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55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16</v>
      </c>
      <c r="B25" s="223" t="n">
        <v>0.00108037682902385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0.00105876929244338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5" t="n">
        <f aca="false">IF(ISTEXT(H25),"",(B25*$B$7/100)+(C25*$C$7/100))</f>
        <v>0.00105876929244338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0.000561795951092403</v>
      </c>
      <c r="C26" s="224" t="n">
        <v>0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Spirogyra sp.</v>
      </c>
      <c r="E26" s="225" t="e">
        <f aca="false">IF(D26="",0,VLOOKUP(D26,D$22:D25,1,0))</f>
        <v>#N/A</v>
      </c>
      <c r="F26" s="226" t="n">
        <f aca="false">($B26*$B$7+$C26*$C$7)/100</f>
        <v>0.000550560032070555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Spirogyra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1147</v>
      </c>
      <c r="Q26" s="215" t="n">
        <f aca="false">IF(ISTEXT(H26),"",(B26*$B$7/100)+(C26*$C$7/100))</f>
        <v>0.000550560032070555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SPISPX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69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0.000108037682902385</v>
      </c>
      <c r="C27" s="224" t="n">
        <v>0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Vaucheria sp.</v>
      </c>
      <c r="E27" s="225" t="e">
        <f aca="false">IF(D27="",0,VLOOKUP(D27,D$22:D26,1,0))</f>
        <v>#N/A</v>
      </c>
      <c r="F27" s="226" t="n">
        <f aca="false">($B27*$B$7+$C27*$C$7)/100</f>
        <v>0.000105876929244338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4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Vaucheria sp.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6193</v>
      </c>
      <c r="Q27" s="215" t="n">
        <f aca="false">IF(ISTEXT(H27),"",(B27*$B$7/100)+(C27*$C$7/100))</f>
        <v>0.000105876929244338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4</v>
      </c>
      <c r="T27" s="216" t="n">
        <f aca="false">IF(ISERROR(R27*I27*J27),0,R27*I27*J27)</f>
        <v>4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VAUSPX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82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0.00108037682902385</v>
      </c>
      <c r="C28" s="224" t="n">
        <v>0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Cinclidotus riparius</v>
      </c>
      <c r="E28" s="225" t="e">
        <f aca="false">IF(D28="",0,VLOOKUP(D28,D$22:D27,1,0))</f>
        <v>#N/A</v>
      </c>
      <c r="F28" s="226" t="n">
        <f aca="false">($B28*$B$7+$C28*$C$7)/100</f>
        <v>0.00105876929244338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13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Cinclidotus riparius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1321</v>
      </c>
      <c r="Q28" s="215" t="n">
        <f aca="false">IF(ISTEXT(H28),"",(B28*$B$7/100)+(C28*$C$7/100))</f>
        <v>0.00105876929244338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13</v>
      </c>
      <c r="T28" s="216" t="n">
        <f aca="false">IF(ISERROR(R28*I28*J28),0,R28*I28*J28)</f>
        <v>26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CINRIP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174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</v>
      </c>
      <c r="C29" s="224" t="n">
        <v>0.01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Equisetum sp.</v>
      </c>
      <c r="E29" s="225" t="e">
        <f aca="false">IF(D29="",0,VLOOKUP(D29,D$22:D28,1,0))</f>
        <v>#N/A</v>
      </c>
      <c r="F29" s="226" t="n">
        <f aca="false">($B29*$B$7+$C29*$C$7)/100</f>
        <v>0.0002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PTE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6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Equisetum sp.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1383</v>
      </c>
      <c r="Q29" s="215" t="n">
        <f aca="false">IF(ISTEXT(H29),"",(B29*$B$7/100)+(C29*$C$7/100))</f>
        <v>0.0002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EQUSPX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283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</v>
      </c>
      <c r="C30" s="224" t="n">
        <v>0.01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Lemna minor</v>
      </c>
      <c r="E30" s="225" t="e">
        <f aca="false">IF(D30="",0,VLOOKUP(D30,D$22:D29,1,0))</f>
        <v>#N/A</v>
      </c>
      <c r="F30" s="226" t="n">
        <f aca="false">($B30*$B$7+$C30*$C$7)/100</f>
        <v>0.0002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PHy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7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10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Lemna minor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1626</v>
      </c>
      <c r="Q30" s="215" t="n">
        <f aca="false">IF(ISTEXT(H30),"",(B30*$B$7/100)+(C30*$C$7/100))</f>
        <v>0.0002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10</v>
      </c>
      <c r="T30" s="216" t="n">
        <f aca="false">IF(ISERROR(R30*I30*J30),0,R30*I30*J30)</f>
        <v>10</v>
      </c>
      <c r="U30" s="228" t="n">
        <f aca="false">IF(ISERROR(R30*J30),0,R30*J30)</f>
        <v>1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LEMMIN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357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</v>
      </c>
      <c r="C31" s="224" t="n">
        <v>0.01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Potamogeton nodosus</v>
      </c>
      <c r="E31" s="225" t="e">
        <f aca="false">IF(D31="",0,VLOOKUP(D31,D$22:D30,1,0))</f>
        <v>#N/A</v>
      </c>
      <c r="F31" s="226" t="n">
        <f aca="false">($B31*$B$7+$C31*$C$7)/100</f>
        <v>0.0002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PHy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7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4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3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Potamogeton nodosus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1652</v>
      </c>
      <c r="Q31" s="215" t="n">
        <f aca="false">IF(ISTEXT(H31),"",(B31*$B$7/100)+(C31*$C$7/100))</f>
        <v>0.0002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4</v>
      </c>
      <c r="T31" s="216" t="n">
        <f aca="false">IF(ISERROR(R31*I31*J31),0,R31*I31*J31)</f>
        <v>12</v>
      </c>
      <c r="U31" s="228" t="n">
        <f aca="false">IF(ISERROR(R31*J31),0,R31*J31)</f>
        <v>3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POTNOD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418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</v>
      </c>
      <c r="C32" s="224" t="n">
        <v>0.01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Agrostis stolonifera</v>
      </c>
      <c r="E32" s="225" t="e">
        <f aca="false">IF(D32="",0,VLOOKUP(D32,D$22:D31,1,0))</f>
        <v>#N/A</v>
      </c>
      <c r="F32" s="226" t="n">
        <f aca="false">($B32*$B$7+$C32*$C$7)/100</f>
        <v>0.0002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PHe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8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10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Agrostis stolonifera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1543</v>
      </c>
      <c r="Q32" s="215" t="n">
        <f aca="false">IF(ISTEXT(H32),"",(B32*$B$7/100)+(C32*$C$7/100))</f>
        <v>0.0002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10</v>
      </c>
      <c r="T32" s="216" t="n">
        <f aca="false">IF(ISERROR(R32*I32*J32),0,R32*I32*J32)</f>
        <v>10</v>
      </c>
      <c r="U32" s="228" t="n">
        <f aca="false">IF(ISERROR(R32*J32),0,R32*J32)</f>
        <v>1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AGRSTO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514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87</v>
      </c>
      <c r="B33" s="223" t="n">
        <v>0</v>
      </c>
      <c r="C33" s="224" t="n">
        <v>2</v>
      </c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Carex acutiformis</v>
      </c>
      <c r="E33" s="225" t="e">
        <f aca="false">IF(D33="",0,VLOOKUP(D33,D$22:D32,1,0))</f>
        <v>#N/A</v>
      </c>
      <c r="F33" s="226" t="n">
        <f aca="false">($B33*$B$7+$C33*$C$7)/100</f>
        <v>0.04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PHe</v>
      </c>
      <c r="H33" s="209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8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Carex acutiformis</v>
      </c>
      <c r="L33" s="227"/>
      <c r="M33" s="227"/>
      <c r="N33" s="227"/>
      <c r="O33" s="213"/>
      <c r="P33" s="214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1468</v>
      </c>
      <c r="Q33" s="215" t="n">
        <f aca="false">IF(ISTEXT(H33),"",(B33*$B$7/100)+(C33*$C$7/100))</f>
        <v>0.04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>CARACT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537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88</v>
      </c>
      <c r="B34" s="223" t="n">
        <v>0</v>
      </c>
      <c r="C34" s="224" t="n">
        <v>2</v>
      </c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>Carex riparia</v>
      </c>
      <c r="E34" s="225" t="e">
        <f aca="false">IF(D34="",0,VLOOKUP(D34,D$22:D33,1,0))</f>
        <v>#N/A</v>
      </c>
      <c r="F34" s="230" t="n">
        <f aca="false">($B34*$B$7+$C34*$C$7)/100</f>
        <v>0.04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>PHe</v>
      </c>
      <c r="H34" s="209" t="n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8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>Carex riparia</v>
      </c>
      <c r="L34" s="227"/>
      <c r="M34" s="227"/>
      <c r="N34" s="227"/>
      <c r="O34" s="213"/>
      <c r="P34" s="214" t="n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>1489</v>
      </c>
      <c r="Q34" s="215" t="n">
        <f aca="false">IF(ISTEXT(H34),"",(B34*$B$7/100)+(C34*$C$7/100))</f>
        <v>0.04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>CARRIP</v>
      </c>
      <c r="Z34" s="10" t="n">
        <f aca="false">IF(ISERROR(MATCH(A34,'[2]liste reference'!$A$8:$A$904,0)),IF(ISERROR(MATCH(A34,'[2]liste reference'!$B$8:$B$904,0)),"",(MATCH(A34,'[2]liste reference'!$B$8:$B$904,0))),(MATCH(A34,'[2]liste reference'!$A$8:$A$904,0)))</f>
        <v>543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89</v>
      </c>
      <c r="B35" s="223" t="n">
        <v>0</v>
      </c>
      <c r="C35" s="224" t="n">
        <v>9</v>
      </c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>Ludwigia peploides</v>
      </c>
      <c r="E35" s="225" t="e">
        <f aca="false">IF(D35="",0,VLOOKUP(D35,D$22:D34,1,0))</f>
        <v>#N/A</v>
      </c>
      <c r="F35" s="230" t="n">
        <f aca="false">($B35*$B$7+$C35*$C$7)/100</f>
        <v>0.18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>PHe</v>
      </c>
      <c r="H35" s="209" t="n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8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>Ludwigia peploides</v>
      </c>
      <c r="L35" s="227"/>
      <c r="M35" s="227"/>
      <c r="N35" s="227"/>
      <c r="O35" s="213"/>
      <c r="P35" s="214" t="n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>1856</v>
      </c>
      <c r="Q35" s="215" t="n">
        <f aca="false">IF(ISTEXT(H35),"",(B35*$B$7/100)+(C35*$C$7/100))</f>
        <v>0.18</v>
      </c>
      <c r="R35" s="216" t="n">
        <f aca="false">IF(OR(ISTEXT(H35),Q35=0),"",IF(Q35&lt;0.1,1,IF(Q35&lt;1,2,IF(Q35&lt;10,3,IF(Q35&lt;50,4,IF(Q35&gt;=50,5,""))))))</f>
        <v>2</v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>LUDPEP</v>
      </c>
      <c r="Z35" s="10" t="n">
        <f aca="false">IF(ISERROR(MATCH(A35,'[2]liste reference'!$A$8:$A$904,0)),IF(ISERROR(MATCH(A35,'[2]liste reference'!$B$8:$B$904,0)),"",(MATCH(A35,'[2]liste reference'!$B$8:$B$904,0))),(MATCH(A35,'[2]liste reference'!$A$8:$A$904,0)))</f>
        <v>594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90</v>
      </c>
      <c r="B36" s="223" t="n">
        <v>0</v>
      </c>
      <c r="C36" s="224" t="n">
        <v>0.1</v>
      </c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>Lysimachia vulgaris</v>
      </c>
      <c r="E36" s="225" t="e">
        <f aca="false">IF(D36="",0,VLOOKUP(D36,D$22:D35,1,0))</f>
        <v>#N/A</v>
      </c>
      <c r="F36" s="230" t="n">
        <f aca="false">($B36*$B$7+$C36*$C$7)/100</f>
        <v>0.002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>PHe</v>
      </c>
      <c r="H36" s="209" t="n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8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>Lysimachia vulgaris</v>
      </c>
      <c r="L36" s="227"/>
      <c r="M36" s="227"/>
      <c r="N36" s="227"/>
      <c r="O36" s="213"/>
      <c r="P36" s="214" t="n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>1887</v>
      </c>
      <c r="Q36" s="215" t="n">
        <f aca="false">IF(ISTEXT(H36),"",(B36*$B$7/100)+(C36*$C$7/100))</f>
        <v>0.002</v>
      </c>
      <c r="R36" s="216" t="n">
        <f aca="false">IF(OR(ISTEXT(H36),Q36=0),"",IF(Q36&lt;0.1,1,IF(Q36&lt;1,2,IF(Q36&lt;10,3,IF(Q36&lt;50,4,IF(Q36&gt;=50,5,""))))))</f>
        <v>1</v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>LYSVUL</v>
      </c>
      <c r="Z36" s="10" t="n">
        <f aca="false">IF(ISERROR(MATCH(A36,'[2]liste reference'!$A$8:$A$904,0)),IF(ISERROR(MATCH(A36,'[2]liste reference'!$B$8:$B$904,0)),"",(MATCH(A36,'[2]liste reference'!$B$8:$B$904,0))),(MATCH(A36,'[2]liste reference'!$A$8:$A$904,0)))</f>
        <v>601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91</v>
      </c>
      <c r="B37" s="223" t="n">
        <v>0</v>
      </c>
      <c r="C37" s="224" t="n">
        <v>0.1</v>
      </c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>Lythrum salicaria</v>
      </c>
      <c r="E37" s="225" t="e">
        <f aca="false">IF(D37="",0,VLOOKUP(D37,D$22:D36,1,0))</f>
        <v>#N/A</v>
      </c>
      <c r="F37" s="230" t="n">
        <f aca="false">($B37*$B$7+$C37*$C$7)/100</f>
        <v>0.002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>PHe</v>
      </c>
      <c r="H37" s="209" t="n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8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>Lythrum salicaria</v>
      </c>
      <c r="L37" s="227"/>
      <c r="M37" s="227"/>
      <c r="N37" s="227"/>
      <c r="O37" s="213"/>
      <c r="P37" s="214" t="n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>1823</v>
      </c>
      <c r="Q37" s="215" t="n">
        <f aca="false">IF(ISTEXT(H37),"",(B37*$B$7/100)+(C37*$C$7/100))</f>
        <v>0.002</v>
      </c>
      <c r="R37" s="216" t="n">
        <f aca="false">IF(OR(ISTEXT(H37),Q37=0),"",IF(Q37&lt;0.1,1,IF(Q37&lt;1,2,IF(Q37&lt;10,3,IF(Q37&lt;50,4,IF(Q37&gt;=50,5,""))))))</f>
        <v>1</v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>LYTSAL</v>
      </c>
      <c r="Z37" s="10" t="n">
        <f aca="false">IF(ISERROR(MATCH(A37,'[2]liste reference'!$A$8:$A$904,0)),IF(ISERROR(MATCH(A37,'[2]liste reference'!$B$8:$B$904,0)),"",(MATCH(A37,'[2]liste reference'!$B$8:$B$904,0))),(MATCH(A37,'[2]liste reference'!$A$8:$A$904,0)))</f>
        <v>605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92</v>
      </c>
      <c r="B38" s="223" t="n">
        <v>0</v>
      </c>
      <c r="C38" s="224" t="n">
        <v>1</v>
      </c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>Phalaris arundinacea</v>
      </c>
      <c r="E38" s="225" t="e">
        <f aca="false">IF(D38="",0,VLOOKUP(D38,D$22:D37,1,0))</f>
        <v>#N/A</v>
      </c>
      <c r="F38" s="230" t="n">
        <f aca="false">($B38*$B$7+$C38*$C$7)/100</f>
        <v>0.02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>PHe</v>
      </c>
      <c r="H38" s="209" t="n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8</v>
      </c>
      <c r="I38" s="210" t="n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>10</v>
      </c>
      <c r="J38" s="210" t="n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>1</v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>Phalaris arundinacea</v>
      </c>
      <c r="L38" s="227"/>
      <c r="M38" s="227"/>
      <c r="N38" s="227"/>
      <c r="O38" s="213"/>
      <c r="P38" s="214" t="n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>1577</v>
      </c>
      <c r="Q38" s="215" t="n">
        <f aca="false">IF(ISTEXT(H38),"",(B38*$B$7/100)+(C38*$C$7/100))</f>
        <v>0.02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10</v>
      </c>
      <c r="T38" s="216" t="n">
        <f aca="false">IF(ISERROR(R38*I38*J38),0,R38*I38*J38)</f>
        <v>10</v>
      </c>
      <c r="U38" s="228" t="n">
        <f aca="false">IF(ISERROR(R38*J38),0,R38*J38)</f>
        <v>1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>PHAARU</v>
      </c>
      <c r="Z38" s="10" t="n">
        <f aca="false">IF(ISERROR(MATCH(A38,'[2]liste reference'!$A$8:$A$904,0)),IF(ISERROR(MATCH(A38,'[2]liste reference'!$B$8:$B$904,0)),"",(MATCH(A38,'[2]liste reference'!$B$8:$B$904,0))),(MATCH(A38,'[2]liste reference'!$A$8:$A$904,0)))</f>
        <v>634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 t="s">
        <v>93</v>
      </c>
      <c r="B39" s="223" t="n">
        <v>0</v>
      </c>
      <c r="C39" s="224" t="n">
        <v>0.01</v>
      </c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>Phragmites australis</v>
      </c>
      <c r="E39" s="225" t="e">
        <f aca="false">IF(D39="",0,VLOOKUP(D39,D$22:D38,1,0))</f>
        <v>#N/A</v>
      </c>
      <c r="F39" s="230" t="n">
        <f aca="false">($B39*$B$7+$C39*$C$7)/100</f>
        <v>0.0002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>PHe</v>
      </c>
      <c r="H39" s="209" t="n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8</v>
      </c>
      <c r="I39" s="210" t="n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>9</v>
      </c>
      <c r="J39" s="210" t="n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>2</v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>Phragmites australis</v>
      </c>
      <c r="L39" s="227"/>
      <c r="M39" s="227"/>
      <c r="N39" s="227"/>
      <c r="O39" s="213"/>
      <c r="P39" s="214" t="n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>1579</v>
      </c>
      <c r="Q39" s="215" t="n">
        <f aca="false">IF(ISTEXT(H39),"",(B39*$B$7/100)+(C39*$C$7/100))</f>
        <v>0.0002</v>
      </c>
      <c r="R39" s="216" t="n">
        <f aca="false">IF(OR(ISTEXT(H39),Q39=0),"",IF(Q39&lt;0.1,1,IF(Q39&lt;1,2,IF(Q39&lt;10,3,IF(Q39&lt;50,4,IF(Q39&gt;=50,5,""))))))</f>
        <v>1</v>
      </c>
      <c r="S39" s="216" t="n">
        <f aca="false">IF(ISERROR(R39*I39),0,R39*I39)</f>
        <v>9</v>
      </c>
      <c r="T39" s="216" t="n">
        <f aca="false">IF(ISERROR(R39*I39*J39),0,R39*I39*J39)</f>
        <v>18</v>
      </c>
      <c r="U39" s="228" t="n">
        <f aca="false">IF(ISERROR(R39*J39),0,R39*J39)</f>
        <v>2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>PHRAUS</v>
      </c>
      <c r="Z39" s="10" t="n">
        <f aca="false">IF(ISERROR(MATCH(A39,'[2]liste reference'!$A$8:$A$904,0)),IF(ISERROR(MATCH(A39,'[2]liste reference'!$B$8:$B$904,0)),"",(MATCH(A39,'[2]liste reference'!$B$8:$B$904,0))),(MATCH(A39,'[2]liste reference'!$A$8:$A$904,0)))</f>
        <v>635</v>
      </c>
      <c r="AA39" s="220"/>
      <c r="AB39" s="221"/>
      <c r="AC39" s="221"/>
      <c r="BB39" s="10" t="n">
        <f aca="false">IF(A39="","",1)</f>
        <v>1</v>
      </c>
    </row>
    <row r="40" customFormat="false" ht="12.75" hidden="false" customHeight="false" outlineLevel="0" collapsed="false">
      <c r="A40" s="222" t="s">
        <v>94</v>
      </c>
      <c r="B40" s="223" t="n">
        <v>0</v>
      </c>
      <c r="C40" s="224" t="n">
        <v>0.01</v>
      </c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>Scirpus lacustris</v>
      </c>
      <c r="E40" s="225" t="e">
        <f aca="false">IF(D40="",0,VLOOKUP(D40,D$22:D39,1,0))</f>
        <v>#N/A</v>
      </c>
      <c r="F40" s="230" t="n">
        <f aca="false">($B40*$B$7+$C40*$C$7)/100</f>
        <v>0.0002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>PHe</v>
      </c>
      <c r="H40" s="209" t="n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8</v>
      </c>
      <c r="I40" s="210" t="n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>8</v>
      </c>
      <c r="J40" s="210" t="n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>2</v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>Scirpus lacustris</v>
      </c>
      <c r="L40" s="227"/>
      <c r="M40" s="227"/>
      <c r="N40" s="227"/>
      <c r="O40" s="213"/>
      <c r="P40" s="214" t="n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>1520</v>
      </c>
      <c r="Q40" s="215" t="n">
        <f aca="false">IF(ISTEXT(H40),"",(B40*$B$7/100)+(C40*$C$7/100))</f>
        <v>0.0002</v>
      </c>
      <c r="R40" s="216" t="n">
        <f aca="false">IF(OR(ISTEXT(H40),Q40=0),"",IF(Q40&lt;0.1,1,IF(Q40&lt;1,2,IF(Q40&lt;10,3,IF(Q40&lt;50,4,IF(Q40&gt;=50,5,""))))))</f>
        <v>1</v>
      </c>
      <c r="S40" s="216" t="n">
        <f aca="false">IF(ISERROR(R40*I40),0,R40*I40)</f>
        <v>8</v>
      </c>
      <c r="T40" s="216" t="n">
        <f aca="false">IF(ISERROR(R40*I40*J40),0,R40*I40*J40)</f>
        <v>16</v>
      </c>
      <c r="U40" s="228" t="n">
        <f aca="false">IF(ISERROR(R40*J40),0,R40*J40)</f>
        <v>2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>SCILAC</v>
      </c>
      <c r="Z40" s="10" t="n">
        <f aca="false">IF(ISERROR(MATCH(A40,'[2]liste reference'!$A$8:$A$904,0)),IF(ISERROR(MATCH(A40,'[2]liste reference'!$B$8:$B$904,0)),"",(MATCH(A40,'[2]liste reference'!$B$8:$B$904,0))),(MATCH(A40,'[2]liste reference'!$A$8:$A$904,0)))</f>
        <v>663</v>
      </c>
      <c r="AA40" s="220"/>
      <c r="AB40" s="221"/>
      <c r="AC40" s="221"/>
      <c r="BB40" s="10" t="n">
        <f aca="false">IF(A40="","",1)</f>
        <v>1</v>
      </c>
    </row>
    <row r="41" customFormat="false" ht="12.75" hidden="false" customHeight="false" outlineLevel="0" collapsed="false">
      <c r="A41" s="222" t="s">
        <v>95</v>
      </c>
      <c r="B41" s="223" t="n">
        <v>0</v>
      </c>
      <c r="C41" s="224" t="n">
        <v>0.01</v>
      </c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>Rorippa palustris</v>
      </c>
      <c r="E41" s="225" t="e">
        <f aca="false">IF(D41="",0,VLOOKUP(D41,D$22:D40,1,0))</f>
        <v>#N/A</v>
      </c>
      <c r="F41" s="230" t="n">
        <f aca="false">($B41*$B$7+$C41*$C$7)/100</f>
        <v>0.0002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>PHx</v>
      </c>
      <c r="H41" s="209" t="n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10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>Rorippa palustris</v>
      </c>
      <c r="L41" s="227"/>
      <c r="M41" s="227"/>
      <c r="N41" s="227"/>
      <c r="O41" s="213"/>
      <c r="P41" s="214" t="n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>20002</v>
      </c>
      <c r="Q41" s="215" t="n">
        <f aca="false">IF(ISTEXT(H41),"",(B41*$B$7/100)+(C41*$C$7/100))</f>
        <v>0.0002</v>
      </c>
      <c r="R41" s="216" t="n">
        <f aca="false">IF(OR(ISTEXT(H41),Q41=0),"",IF(Q41&lt;0.1,1,IF(Q41&lt;1,2,IF(Q41&lt;10,3,IF(Q41&lt;50,4,IF(Q41&gt;=50,5,""))))))</f>
        <v>1</v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>RORPAL</v>
      </c>
      <c r="Z41" s="10" t="n">
        <f aca="false">IF(ISERROR(MATCH(A41,'[2]liste reference'!$A$8:$A$904,0)),IF(ISERROR(MATCH(A41,'[2]liste reference'!$B$8:$B$904,0)),"",(MATCH(A41,'[2]liste reference'!$B$8:$B$904,0))),(MATCH(A41,'[2]liste reference'!$A$8:$A$904,0)))</f>
        <v>874</v>
      </c>
      <c r="AA41" s="220"/>
      <c r="AB41" s="221"/>
      <c r="AC41" s="221"/>
      <c r="BB41" s="10" t="n">
        <f aca="false">IF(A41="","",1)</f>
        <v>1</v>
      </c>
    </row>
    <row r="42" customFormat="false" ht="12.75" hidden="false" customHeight="false" outlineLevel="0" collapsed="false">
      <c r="A42" s="222" t="s">
        <v>96</v>
      </c>
      <c r="B42" s="223" t="n">
        <v>0</v>
      </c>
      <c r="C42" s="224" t="n">
        <v>0.01</v>
      </c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0.0002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>    -</v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>Persicaria maculosa</v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>No</v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>newcod</v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 t="s">
        <v>97</v>
      </c>
      <c r="AC42" s="221"/>
      <c r="BB42" s="10" t="n">
        <f aca="false">IF(A42="","",1)</f>
        <v>1</v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RHONE</v>
      </c>
      <c r="B84" s="258" t="str">
        <f aca="false">C3</f>
        <v>RHONE A ROCHEMAURE</v>
      </c>
      <c r="C84" s="259" t="n">
        <f aca="false">A4</f>
        <v>41905</v>
      </c>
      <c r="D84" s="260" t="n">
        <f aca="false">IF(ISERROR(SUM($T$23:$T$82)/SUM($U$23:$U$82)),"",SUM($T$23:$T$82)/SUM($U$23:$U$82))</f>
        <v>8.42105263157895</v>
      </c>
      <c r="E84" s="261" t="n">
        <f aca="false">N13</f>
        <v>20</v>
      </c>
      <c r="F84" s="258" t="n">
        <f aca="false">N14</f>
        <v>12</v>
      </c>
      <c r="G84" s="258" t="n">
        <f aca="false">N15</f>
        <v>6</v>
      </c>
      <c r="H84" s="258" t="n">
        <f aca="false">N16</f>
        <v>5</v>
      </c>
      <c r="I84" s="258" t="n">
        <f aca="false">N17</f>
        <v>1</v>
      </c>
      <c r="J84" s="262" t="n">
        <f aca="false">N8</f>
        <v>8.58333333333333</v>
      </c>
      <c r="K84" s="260" t="n">
        <f aca="false">N9</f>
        <v>2.92854723180093</v>
      </c>
      <c r="L84" s="261" t="n">
        <f aca="false">N10</f>
        <v>4</v>
      </c>
      <c r="M84" s="261" t="n">
        <f aca="false">N11</f>
        <v>13</v>
      </c>
      <c r="N84" s="260" t="n">
        <f aca="false">O8</f>
        <v>1.58333333333333</v>
      </c>
      <c r="O84" s="260" t="n">
        <f aca="false">O9</f>
        <v>0.640095478989051</v>
      </c>
      <c r="P84" s="261" t="n">
        <f aca="false">O10</f>
        <v>1</v>
      </c>
      <c r="Q84" s="261" t="n">
        <f aca="false">O11</f>
        <v>3</v>
      </c>
      <c r="R84" s="261" t="n">
        <f aca="false">F21</f>
        <v>0.341185387853277</v>
      </c>
      <c r="S84" s="261" t="n">
        <f aca="false">K11</f>
        <v>0</v>
      </c>
      <c r="T84" s="261" t="n">
        <f aca="false">K12</f>
        <v>5</v>
      </c>
      <c r="U84" s="261" t="n">
        <f aca="false">K13</f>
        <v>1</v>
      </c>
      <c r="V84" s="263" t="n">
        <f aca="false">K14</f>
        <v>1</v>
      </c>
      <c r="W84" s="264" t="n">
        <f aca="false">K15</f>
        <v>12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99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100</v>
      </c>
      <c r="R87" s="10"/>
      <c r="S87" s="217" t="n">
        <f aca="false">VLOOKUP(MAX($S$23:$S$82),($S$23:$U$82),1,0)</f>
        <v>13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101</v>
      </c>
      <c r="R88" s="10"/>
      <c r="S88" s="217" t="n">
        <f aca="false">VLOOKUP((S87),($S$23:$U$82),2,0)</f>
        <v>26</v>
      </c>
      <c r="T88" s="10"/>
      <c r="U88" s="10"/>
      <c r="V88" s="10"/>
    </row>
    <row r="89" customFormat="false" ht="12.75" hidden="true" customHeight="false" outlineLevel="0" collapsed="false">
      <c r="Q89" s="10" t="s">
        <v>102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103</v>
      </c>
      <c r="R90" s="10"/>
      <c r="S90" s="267" t="n">
        <f aca="false">IF(ISERROR(SUM($T$23:$T$82)/SUM($U$23:$U$82)),"",(SUM($T$23:$T$82)-S88)/(SUM($U$23:$U$82)-S89))</f>
        <v>7.88235294117647</v>
      </c>
      <c r="T90" s="10"/>
    </row>
    <row r="91" customFormat="false" ht="12.75" hidden="false" customHeight="false" outlineLevel="0" collapsed="false">
      <c r="Q91" s="216" t="s">
        <v>104</v>
      </c>
      <c r="R91" s="216"/>
      <c r="S91" s="216" t="str">
        <f aca="false">INDEX('[2]liste reference'!$A$8:$A$904,$T$91)</f>
        <v>PHOSPX</v>
      </c>
      <c r="T91" s="10" t="n">
        <f aca="false">IF(ISERROR(MATCH($S$93,'[2]liste reference'!$A$8:$A$904,0)),MATCH($S$93,'[2]liste reference'!$B$8:$B$904,0),(MATCH($S$93,'[2]liste reference'!$A$8:$A$904,0)))</f>
        <v>57</v>
      </c>
      <c r="U91" s="256"/>
    </row>
    <row r="92" customFormat="false" ht="12.75" hidden="false" customHeight="false" outlineLevel="0" collapsed="false">
      <c r="Q92" s="10" t="s">
        <v>105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106</v>
      </c>
      <c r="R93" s="10"/>
      <c r="S93" s="216" t="str">
        <f aca="false">INDEX($A$23:$A$82,$S$92)</f>
        <v>PHOSPX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2015-04-15T14:36:46Z</dcterms:created>
  <dc:creator>Laurent Bourgoin</dc:creator>
  <dc:description/>
  <dc:language>fr-FR</dc:language>
  <cp:lastModifiedBy>Laurent Bourgoin</cp:lastModifiedBy>
  <dcterms:modified xsi:type="dcterms:W3CDTF">2015-04-15T14:36:59Z</dcterms:modified>
  <cp:revision>0</cp:revision>
  <dc:subject/>
  <dc:title/>
</cp:coreProperties>
</file>