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<sst xmlns="http://schemas.openxmlformats.org/spreadsheetml/2006/main" count="111" uniqueCount="104">
  <si>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</si>
  <si>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</si>
  <si>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</si>
  <si>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L.BOURGOIN</t>
  </si>
  <si>
    <t xml:space="preserve">conforme AFNOR T90-395 oct. 2003</t>
  </si>
  <si>
    <t xml:space="preserve">VEBRE</t>
  </si>
  <si>
    <t xml:space="preserve">VEBRE A SAOU</t>
  </si>
  <si>
    <t xml:space="preserve">06110900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</si>
  <si>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</si>
  <si>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</si>
  <si>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</si>
  <si>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</si>
  <si>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</si>
  <si>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</si>
  <si>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</si>
  <si>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</si>
  <si>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CRAFIL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</si>
  <si>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</si>
  <si>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</si>
  <si>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</si>
  <si>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</si>
  <si>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</si>
  <si>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</si>
  <si>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</si>
  <si>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</si>
  <si>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</si>
  <si>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</si>
  <si>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</si>
  <si>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</si>
  <si>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</si>
  <si>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</si>
  <si>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</si>
  <si>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</si>
  <si>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</si>
  <si>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</si>
  <si>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</si>
  <si>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</si>
  <si>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</si>
  <si>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</si>
  <si>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</si>
  <si>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</si>
  <si>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</si>
  <si>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</si>
  <si>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</si>
  <si>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</si>
  <si>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</si>
  <si>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</si>
  <si>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</si>
  <si>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</si>
  <si>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</si>
  <si>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</si>
  <si>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</si>
  <si>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</si>
  <si>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</si>
  <si>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</si>
  <si>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</si>
  <si>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</si>
  <si>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</si>
  <si>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</si>
  <si>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</si>
  <si>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</si>
  <si>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</si>
  <si>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</si>
  <si>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</si>
  <si>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</si>
  <si>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</si>
  <si>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</si>
  <si>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</si>
  <si>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</si>
  <si>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</si>
  <si>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</si>
  <si>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</si>
  <si>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</si>
  <si>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</si>
  <si>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</si>
  <si>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</si>
  <si>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</si>
  <si>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</si>
  <si>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</si>
  <si>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CLASPX</t>
  </si>
  <si>
    <t xml:space="preserve">NOSSPX</t>
  </si>
  <si>
    <t xml:space="preserve">PHOSPX</t>
  </si>
  <si>
    <t xml:space="preserve">VAUSPX</t>
  </si>
  <si>
    <t xml:space="preserve">JUGATR</t>
  </si>
  <si>
    <t xml:space="preserve">NARSCA</t>
  </si>
  <si>
    <t xml:space="preserve">PELEND</t>
  </si>
  <si>
    <t xml:space="preserve">RHYRIP</t>
  </si>
  <si>
    <t xml:space="preserve">AGRSTO</t>
  </si>
  <si>
    <t xml:space="preserve">CARPEN</t>
  </si>
  <si>
    <t xml:space="preserve">MENAQU</t>
  </si>
  <si>
    <t xml:space="preserve">MENLON</t>
  </si>
  <si>
    <t xml:space="preserve">newcod</t>
  </si>
  <si>
    <t xml:space="preserve">Alnus glutinosa</t>
  </si>
  <si>
    <t xml:space="preserve">Salix purpurea</t>
  </si>
  <si>
    <t xml:space="preserve">Salix viminalis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</si>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</sst>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7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7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7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7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7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7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7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7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7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Temp/Temp1_IBMR_2013_rapports_reedites.zip/13011_VESAO_25-06-13_IBMR_LFbis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41450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15.5428571428571</v>
      </c>
      <c r="M5" s="53"/>
      <c r="N5" s="54" t="s">
        <v>16</v>
      </c>
      <c r="O5" s="55" t="n">
        <v>14.6923076923077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12.6363636363636</v>
      </c>
      <c r="O8" s="84" t="n">
        <f aca="false">IF(ISERROR(AVERAGE(J23:J82)),"      -",AVERAGE(J23:J82))</f>
        <v>1.72727272727273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10.54</v>
      </c>
      <c r="C9" s="87" t="n">
        <v>11.58</v>
      </c>
      <c r="D9" s="88"/>
      <c r="E9" s="88"/>
      <c r="F9" s="89" t="n">
        <f aca="false">($B9*$B$7+$C9*$C$7)/100</f>
        <v>10.644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4.99586605964876</v>
      </c>
      <c r="O9" s="84" t="n">
        <f aca="false">IF(ISERROR(STDEVP(J23:J82)),"      -",STDEVP(J23:J82))</f>
        <v>0.862439361864103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20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0.52</v>
      </c>
      <c r="C12" s="119"/>
      <c r="D12" s="111"/>
      <c r="E12" s="111"/>
      <c r="F12" s="112" t="n">
        <f aca="false">($B12*$B$7+$C12*$C$7)/100</f>
        <v>0.468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10.02</v>
      </c>
      <c r="C13" s="119" t="n">
        <v>11.51</v>
      </c>
      <c r="D13" s="111"/>
      <c r="E13" s="111"/>
      <c r="F13" s="112" t="n">
        <f aca="false">($B13*$B$7+$C13*$C$7)/100</f>
        <v>10.169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0.07</v>
      </c>
      <c r="D15" s="111"/>
      <c r="E15" s="111"/>
      <c r="F15" s="112" t="n">
        <f aca="false">($B15*$B$7+$C15*$C$7)/100</f>
        <v>0.007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4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10.54</v>
      </c>
      <c r="C17" s="119" t="n">
        <v>11.51</v>
      </c>
      <c r="D17" s="111"/>
      <c r="E17" s="111"/>
      <c r="F17" s="143"/>
      <c r="G17" s="112" t="n">
        <f aca="false">($B17*$B$7+$C17*$C$7)/100</f>
        <v>10.637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0.07</v>
      </c>
      <c r="D18" s="111"/>
      <c r="E18" s="147" t="s">
        <v>54</v>
      </c>
      <c r="F18" s="143"/>
      <c r="G18" s="112" t="n">
        <f aca="false">($B18*$B$7+$C18*$C$7)/100</f>
        <v>0.007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10.644</v>
      </c>
      <c r="G19" s="156" t="n">
        <f aca="false">SUM(G16:G18)</f>
        <v>10.644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10.54</v>
      </c>
      <c r="C20" s="166" t="n">
        <f aca="false">SUM(C23:C82)</f>
        <v>11.58</v>
      </c>
      <c r="D20" s="167"/>
      <c r="E20" s="168" t="s">
        <v>54</v>
      </c>
      <c r="F20" s="169" t="n">
        <f aca="false">($B20*$B$7+$C20*$C$7)/100</f>
        <v>10.644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9.486</v>
      </c>
      <c r="C21" s="179" t="n">
        <f aca="false">C20*C7/100</f>
        <v>1.158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10.644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7" t="e">
        <f aca="false">IF(D23="",0,VLOOKUP(D23,D$22:D22,1,0))</f>
        <v>#N/A</v>
      </c>
      <c r="F23" s="208" t="n">
        <f aca="false">($B23*$B$7+$C23*$C$7)/100</f>
        <v>0.009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6" t="n">
        <f aca="false">IF(ISTEXT(H23),"",(B23*$B$7/100)+(C23*$C$7/100))</f>
        <v>0.009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16</v>
      </c>
      <c r="T23" s="217" t="n">
        <f aca="false">IF(ISERROR(R23*I23*J23),0,R23*I23*J23)</f>
        <v>32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0.1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0.09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6" t="n">
        <f aca="false">IF(ISTEXT(H24),"",(B24*$B$7/100)+(C24*$C$7/100))</f>
        <v>0.09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6</v>
      </c>
      <c r="T24" s="217" t="n">
        <f aca="false">IF(ISERROR(R24*I24*J24),0,R24*I24*J24)</f>
        <v>6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0.2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Nostoc sp.</v>
      </c>
      <c r="E25" s="226" t="e">
        <f aca="false">IF(D25="",0,VLOOKUP(D25,D$22:D24,1,0))</f>
        <v>#N/A</v>
      </c>
      <c r="F25" s="227" t="n">
        <f aca="false">($B25*$B$7+$C25*$C$7)/100</f>
        <v>0.18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9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Nostoc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1105</v>
      </c>
      <c r="Q25" s="216" t="n">
        <f aca="false">IF(ISTEXT(H25),"",(B25*$B$7/100)+(C25*$C$7/100))</f>
        <v>0.18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18</v>
      </c>
      <c r="T25" s="217" t="n">
        <f aca="false">IF(ISERROR(R25*I25*J25),0,R25*I25*J25)</f>
        <v>18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NOSSPX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0.009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6" t="n">
        <f aca="false">IF(ISTEXT(H26),"",(B26*$B$7/100)+(C26*$C$7/100))</f>
        <v>0.009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0.2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0.18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6" t="n">
        <f aca="false">IF(ISTEXT(H27),"",(B27*$B$7/100)+(C27*$C$7/100))</f>
        <v>0.18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8</v>
      </c>
      <c r="T27" s="217" t="n">
        <f aca="false">IF(ISERROR(R27*I27*J27),0,R27*I27*J27)</f>
        <v>8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1.5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Jungermannia atrovirens</v>
      </c>
      <c r="E28" s="226" t="e">
        <f aca="false">IF(D28="",0,VLOOKUP(D28,D$22:D27,1,0))</f>
        <v>#N/A</v>
      </c>
      <c r="F28" s="227" t="n">
        <f aca="false">($B28*$B$7+$C28*$C$7)/100</f>
        <v>0.15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BRh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4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19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Jungermannia atrovirens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19820</v>
      </c>
      <c r="Q28" s="216" t="n">
        <f aca="false">IF(ISTEXT(H28),"",(B28*$B$7/100)+(C28*$C$7/100))</f>
        <v>0.15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38</v>
      </c>
      <c r="T28" s="217" t="n">
        <f aca="false">IF(ISERROR(R28*I28*J28),0,R28*I28*J28)</f>
        <v>114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JUGATR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101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1.01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Nardia scalaris</v>
      </c>
      <c r="E29" s="226" t="e">
        <f aca="false">IF(D29="",0,VLOOKUP(D29,D$22:D28,1,0))</f>
        <v>#N/A</v>
      </c>
      <c r="F29" s="227" t="n">
        <f aca="false">($B29*$B$7+$C29*$C$7)/100</f>
        <v>0.909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BRh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4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20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Nardia scalaris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19883</v>
      </c>
      <c r="Q29" s="216" t="n">
        <f aca="false">IF(ISTEXT(H29),"",(B29*$B$7/100)+(C29*$C$7/100))</f>
        <v>0.909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40</v>
      </c>
      <c r="T29" s="217" t="n">
        <f aca="false">IF(ISERROR(R29*I29*J29),0,R29*I29*J29)</f>
        <v>120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NARSCA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118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0.01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Pellia endiviifolia</v>
      </c>
      <c r="E30" s="226" t="e">
        <f aca="false">IF(D30="",0,VLOOKUP(D30,D$22:D29,1,0))</f>
        <v>#N/A</v>
      </c>
      <c r="F30" s="227" t="n">
        <f aca="false">($B30*$B$7+$C30*$C$7)/100</f>
        <v>0.01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BRh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4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Pellia endiviifolia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1197</v>
      </c>
      <c r="Q30" s="216" t="n">
        <f aca="false">IF(ISTEXT(H30),"",(B30*$B$7/100)+(C30*$C$7/100))</f>
        <v>0.01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PELEND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120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16</v>
      </c>
      <c r="B31" s="224" t="n">
        <v>7.5</v>
      </c>
      <c r="C31" s="225" t="n">
        <v>10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Cratoneuron filicinum</v>
      </c>
      <c r="E31" s="226" t="e">
        <f aca="false">IF(D31="",0,VLOOKUP(D31,D$22:D30,1,0))</f>
        <v>#N/A</v>
      </c>
      <c r="F31" s="227" t="n">
        <f aca="false">($B31*$B$7+$C31*$C$7)/100</f>
        <v>7.75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18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3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Cratoneuron filicinum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1233</v>
      </c>
      <c r="Q31" s="216" t="n">
        <f aca="false">IF(ISTEXT(H31),"",(B31*$B$7/100)+(C31*$C$7/100))</f>
        <v>7.75</v>
      </c>
      <c r="R31" s="217" t="n">
        <f aca="false">IF(OR(ISTEXT(H31),Q31=0),"",IF(Q31&lt;0.1,1,IF(Q31&lt;1,2,IF(Q31&lt;10,3,IF(Q31&lt;50,4,IF(Q31&gt;=50,5,""))))))</f>
        <v>3</v>
      </c>
      <c r="S31" s="217" t="n">
        <f aca="false">IF(ISERROR(R31*I31),0,R31*I31)</f>
        <v>54</v>
      </c>
      <c r="T31" s="217" t="n">
        <f aca="false">IF(ISERROR(R31*I31*J31),0,R31*I31*J31)</f>
        <v>162</v>
      </c>
      <c r="U31" s="229" t="n">
        <f aca="false">IF(ISERROR(R31*J31),0,R31*J31)</f>
        <v>9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CRAFIL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178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1.5</v>
      </c>
      <c r="C32" s="225" t="n">
        <v>0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Rhynchostegium riparioides</v>
      </c>
      <c r="E32" s="226" t="e">
        <f aca="false">IF(D32="",0,VLOOKUP(D32,D$22:D31,1,0))</f>
        <v>#N/A</v>
      </c>
      <c r="F32" s="227" t="n">
        <f aca="false">($B32*$B$7+$C32*$C$7)/100</f>
        <v>1.35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12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Rhynchostegium riparioides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1268</v>
      </c>
      <c r="Q32" s="216" t="n">
        <f aca="false">IF(ISTEXT(H32),"",(B32*$B$7/100)+(C32*$C$7/100))</f>
        <v>1.35</v>
      </c>
      <c r="R32" s="217" t="n">
        <f aca="false">IF(OR(ISTEXT(H32),Q32=0),"",IF(Q32&lt;0.1,1,IF(Q32&lt;1,2,IF(Q32&lt;10,3,IF(Q32&lt;50,4,IF(Q32&gt;=50,5,""))))))</f>
        <v>3</v>
      </c>
      <c r="S32" s="217" t="n">
        <f aca="false">IF(ISERROR(R32*I32),0,R32*I32)</f>
        <v>36</v>
      </c>
      <c r="T32" s="217" t="n">
        <f aca="false">IF(ISERROR(R32*I32*J32),0,R32*I32*J32)</f>
        <v>36</v>
      </c>
      <c r="U32" s="229" t="n">
        <f aca="false">IF(ISERROR(R32*J32),0,R32*J32)</f>
        <v>3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RHYRIP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252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Agrostis stolonifera</v>
      </c>
      <c r="E33" s="226" t="e">
        <f aca="false">IF(D33="",0,VLOOKUP(D33,D$22:D32,1,0))</f>
        <v>#N/A</v>
      </c>
      <c r="F33" s="227" t="n">
        <f aca="false">($B33*$B$7+$C33*$C$7)/100</f>
        <v>0.001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10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Agrostis stolonifera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1543</v>
      </c>
      <c r="Q33" s="216" t="n">
        <f aca="false">IF(ISTEXT(H33),"",(B33*$B$7/100)+(C33*$C$7/100))</f>
        <v>0.001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10</v>
      </c>
      <c r="T33" s="217" t="n">
        <f aca="false">IF(ISERROR(R33*I33*J33),0,R33*I33*J33)</f>
        <v>10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AGRSTO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514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Carex pendula</v>
      </c>
      <c r="E34" s="226" t="e">
        <f aca="false">IF(D34="",0,VLOOKUP(D34,D$22:D33,1,0))</f>
        <v>#N/A</v>
      </c>
      <c r="F34" s="231" t="n">
        <f aca="false">($B34*$B$7+$C34*$C$7)/100</f>
        <v>0.001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Carex pendula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1485</v>
      </c>
      <c r="Q34" s="216" t="n">
        <f aca="false">IF(ISTEXT(H34),"",(B34*$B$7/100)+(C34*$C$7/100))</f>
        <v>0.001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CARPEN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541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Mentha aquatica</v>
      </c>
      <c r="E35" s="226" t="e">
        <f aca="false">IF(D35="",0,VLOOKUP(D35,D$22:D34,1,0))</f>
        <v>#N/A</v>
      </c>
      <c r="F35" s="231" t="n">
        <f aca="false">($B35*$B$7+$C35*$C$7)/100</f>
        <v>0.001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12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Mentha aquatica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1791</v>
      </c>
      <c r="Q35" s="216" t="n">
        <f aca="false">IF(ISTEXT(H35),"",(B35*$B$7/100)+(C35*$C$7/100))</f>
        <v>0.001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12</v>
      </c>
      <c r="T35" s="217" t="n">
        <f aca="false">IF(ISERROR(R35*I35*J35),0,R35*I35*J35)</f>
        <v>12</v>
      </c>
      <c r="U35" s="229" t="n">
        <f aca="false">IF(ISERROR(R35*J35),0,R35*J35)</f>
        <v>1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MENAQU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607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Mentha longifolia</v>
      </c>
      <c r="E36" s="226" t="e">
        <f aca="false">IF(D36="",0,VLOOKUP(D36,D$22:D35,1,0))</f>
        <v>#N/A</v>
      </c>
      <c r="F36" s="231" t="n">
        <f aca="false">($B36*$B$7+$C36*$C$7)/100</f>
        <v>0.001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Mentha longifolia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19856</v>
      </c>
      <c r="Q36" s="216" t="n">
        <f aca="false">IF(ISTEXT(H36),"",(B36*$B$7/100)+(C36*$C$7/100))</f>
        <v>0.001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MENLON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609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0.001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    -</v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Alnus glutinosa</v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newcod</v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 t="s">
        <v>92</v>
      </c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91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0.001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    -</v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Salix purpurea</v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No</v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newcod</v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 t="s">
        <v>93</v>
      </c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91</v>
      </c>
      <c r="B39" s="224" t="n">
        <v>0</v>
      </c>
      <c r="C39" s="225" t="n">
        <v>0.01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0.001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Salix viminalis</v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 t="s">
        <v>94</v>
      </c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VEBRE</v>
      </c>
      <c r="B84" s="259" t="str">
        <f aca="false">C3</f>
        <v>VEBRE A SAOU</v>
      </c>
      <c r="C84" s="260" t="n">
        <f aca="false">A4</f>
        <v>41450</v>
      </c>
      <c r="D84" s="261" t="n">
        <f aca="false">IF(ISERROR(SUM($T$23:$T$82)/SUM($U$23:$U$82)),"",SUM($T$23:$T$82)/SUM($U$23:$U$82))</f>
        <v>15.5428571428571</v>
      </c>
      <c r="E84" s="262" t="n">
        <f aca="false">N13</f>
        <v>17</v>
      </c>
      <c r="F84" s="259" t="n">
        <f aca="false">N14</f>
        <v>11</v>
      </c>
      <c r="G84" s="259" t="n">
        <f aca="false">N15</f>
        <v>6</v>
      </c>
      <c r="H84" s="259" t="n">
        <f aca="false">N16</f>
        <v>2</v>
      </c>
      <c r="I84" s="259" t="n">
        <f aca="false">N17</f>
        <v>3</v>
      </c>
      <c r="J84" s="263" t="n">
        <f aca="false">N8</f>
        <v>12.6363636363636</v>
      </c>
      <c r="K84" s="261" t="n">
        <f aca="false">N9</f>
        <v>4.99586605964876</v>
      </c>
      <c r="L84" s="262" t="n">
        <f aca="false">N10</f>
        <v>4</v>
      </c>
      <c r="M84" s="262" t="n">
        <f aca="false">N11</f>
        <v>20</v>
      </c>
      <c r="N84" s="261" t="n">
        <f aca="false">O8</f>
        <v>1.72727272727273</v>
      </c>
      <c r="O84" s="261" t="n">
        <f aca="false">O9</f>
        <v>0.862439361864103</v>
      </c>
      <c r="P84" s="262" t="n">
        <f aca="false">O10</f>
        <v>1</v>
      </c>
      <c r="Q84" s="262" t="n">
        <f aca="false">O11</f>
        <v>3</v>
      </c>
      <c r="R84" s="262" t="n">
        <f aca="false">F21</f>
        <v>10.644</v>
      </c>
      <c r="S84" s="262" t="n">
        <f aca="false">K11</f>
        <v>0</v>
      </c>
      <c r="T84" s="262" t="n">
        <f aca="false">K12</f>
        <v>5</v>
      </c>
      <c r="U84" s="262" t="n">
        <f aca="false">K13</f>
        <v>5</v>
      </c>
      <c r="V84" s="264" t="n">
        <f aca="false">K14</f>
        <v>0</v>
      </c>
      <c r="W84" s="265" t="n">
        <f aca="false">K15</f>
        <v>4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96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97</v>
      </c>
      <c r="R87" s="10"/>
      <c r="S87" s="218" t="n">
        <f aca="false">VLOOKUP(MAX($S$23:$S$82),($S$23:$U$82),1,0)</f>
        <v>54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98</v>
      </c>
      <c r="R88" s="10"/>
      <c r="S88" s="218" t="n">
        <f aca="false">VLOOKUP((S87),($S$23:$U$82),2,0)</f>
        <v>162</v>
      </c>
      <c r="T88" s="10"/>
      <c r="U88" s="10"/>
      <c r="V88" s="10"/>
    </row>
    <row r="89" customFormat="false" ht="12.75" hidden="true" customHeight="false" outlineLevel="0" collapsed="false">
      <c r="Q89" s="10" t="s">
        <v>99</v>
      </c>
      <c r="R89" s="10"/>
      <c r="S89" s="218" t="n">
        <f aca="false">VLOOKUP((S87),($S$23:$U$82),3,0)</f>
        <v>9</v>
      </c>
      <c r="T89" s="10"/>
    </row>
    <row r="90" customFormat="false" ht="12.75" hidden="false" customHeight="false" outlineLevel="0" collapsed="false">
      <c r="Q90" s="10" t="s">
        <v>100</v>
      </c>
      <c r="R90" s="10"/>
      <c r="S90" s="268" t="n">
        <f aca="false">IF(ISERROR(SUM($T$23:$T$82)/SUM($U$23:$U$82)),"",(SUM($T$23:$T$82)-S88)/(SUM($U$23:$U$82)-S89))</f>
        <v>14.6923076923077</v>
      </c>
      <c r="T90" s="10"/>
    </row>
    <row r="91" customFormat="false" ht="12.75" hidden="false" customHeight="false" outlineLevel="0" collapsed="false">
      <c r="Q91" s="217" t="s">
        <v>101</v>
      </c>
      <c r="R91" s="217"/>
      <c r="S91" s="217" t="str">
        <f aca="false">INDEX('[1]liste reference'!$A$8:$A$904,$T$91)</f>
        <v>CRAFIL</v>
      </c>
      <c r="T91" s="10" t="n">
        <f aca="false">IF(ISERROR(MATCH($S$93,'[1]liste reference'!$A$8:$A$904,0)),MATCH($S$93,'[1]liste reference'!$B$8:$B$904,0),(MATCH($S$93,'[1]liste reference'!$A$8:$A$904,0)))</f>
        <v>178</v>
      </c>
      <c r="U91" s="257"/>
    </row>
    <row r="92" customFormat="false" ht="12.75" hidden="false" customHeight="false" outlineLevel="0" collapsed="false">
      <c r="Q92" s="10" t="s">
        <v>102</v>
      </c>
      <c r="R92" s="10"/>
      <c r="S92" s="10" t="n">
        <f aca="false">MATCH(S87,$S$23:$S$82,0)</f>
        <v>9</v>
      </c>
      <c r="T92" s="10"/>
    </row>
    <row r="93" customFormat="false" ht="12.75" hidden="false" customHeight="false" outlineLevel="0" collapsed="false">
      <c r="Q93" s="217" t="s">
        <v>103</v>
      </c>
      <c r="R93" s="10"/>
      <c r="S93" s="217" t="str">
        <f aca="false">INDEX($A$23:$A$82,$S$92)</f>
        <v>CRAFIL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2015-11-26T12:16:40Z</dcterms:created>
  <dc:creator>laurianne isebe</dc:creator>
  <dc:description/>
  <dc:language>fr-FR</dc:language>
  <cp:lastModifiedBy>IMBERT Loïc</cp:lastModifiedBy>
  <dcterms:modified xsi:type="dcterms:W3CDTF">2016-02-09T11:21:14Z</dcterms:modified>
  <cp:revision>0</cp:revision>
  <dc:subject/>
  <dc:title/>
</cp:coreProperties>
</file>